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 Royal Eagle\Documents\RE Capital Partners USA LLC\GREEN VALLEY\Investor Presentation\"/>
    </mc:Choice>
  </mc:AlternateContent>
  <xr:revisionPtr revIDLastSave="0" documentId="13_ncr:1_{833308A9-949B-466C-B7EA-DF635C689566}" xr6:coauthVersionLast="43" xr6:coauthVersionMax="43" xr10:uidLastSave="{00000000-0000-0000-0000-000000000000}"/>
  <bookViews>
    <workbookView xWindow="-108" yWindow="-108" windowWidth="23256" windowHeight="12576" xr2:uid="{AB38F57E-DDB5-4943-9825-003D47502D72}"/>
  </bookViews>
  <sheets>
    <sheet name="Use of Funds" sheetId="3" r:id="rId1"/>
    <sheet name="Investors ROI" sheetId="1" r:id="rId2"/>
    <sheet name="Greenvalley P&amp;L" sheetId="5" r:id="rId3"/>
    <sheet name="Bamboo P&amp;L " sheetId="2" r:id="rId4"/>
    <sheet name="IRR &amp; ROI Greenvally &amp; Bamboo" sheetId="4" r:id="rId5"/>
    <sheet name="GV Fair Mkt value vs Appraisals" sheetId="8" r:id="rId6"/>
    <sheet name="Land sold vs available" sheetId="6" r:id="rId7"/>
  </sheets>
  <externalReferences>
    <externalReference r:id="rId8"/>
    <externalReference r:id="rId9"/>
    <externalReference r:id="rId10"/>
    <externalReference r:id="rId11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2" i="8" l="1"/>
  <c r="I12" i="8"/>
  <c r="I5" i="8"/>
  <c r="I6" i="8"/>
  <c r="I7" i="8"/>
  <c r="I8" i="8"/>
  <c r="I9" i="8"/>
  <c r="I10" i="8"/>
  <c r="I11" i="8"/>
  <c r="I4" i="8"/>
  <c r="F5" i="8"/>
  <c r="G5" i="8" s="1"/>
  <c r="F6" i="8"/>
  <c r="G6" i="8" s="1"/>
  <c r="F7" i="8"/>
  <c r="G7" i="8" s="1"/>
  <c r="F8" i="8"/>
  <c r="G8" i="8" s="1"/>
  <c r="F9" i="8"/>
  <c r="G9" i="8" s="1"/>
  <c r="F10" i="8"/>
  <c r="G10" i="8" s="1"/>
  <c r="F11" i="8"/>
  <c r="G11" i="8" s="1"/>
  <c r="F4" i="8"/>
  <c r="G4" i="8" s="1"/>
  <c r="G12" i="8" s="1"/>
  <c r="F12" i="8" s="1"/>
  <c r="E10" i="8"/>
  <c r="E8" i="8"/>
  <c r="E5" i="8"/>
  <c r="D5" i="8"/>
  <c r="D6" i="8"/>
  <c r="E6" i="8" s="1"/>
  <c r="D7" i="8"/>
  <c r="E7" i="8" s="1"/>
  <c r="D8" i="8"/>
  <c r="D9" i="8"/>
  <c r="E9" i="8" s="1"/>
  <c r="D10" i="8"/>
  <c r="D11" i="8"/>
  <c r="E11" i="8" s="1"/>
  <c r="D4" i="8"/>
  <c r="E4" i="8" s="1"/>
  <c r="C12" i="8"/>
  <c r="C5" i="8"/>
  <c r="C6" i="8"/>
  <c r="C7" i="8"/>
  <c r="C8" i="8"/>
  <c r="C9" i="8"/>
  <c r="C10" i="8"/>
  <c r="C11" i="8"/>
  <c r="C4" i="8"/>
  <c r="A11" i="8"/>
  <c r="A5" i="8"/>
  <c r="A6" i="8"/>
  <c r="A7" i="8"/>
  <c r="A8" i="8"/>
  <c r="A9" i="8"/>
  <c r="A10" i="8"/>
  <c r="A4" i="8"/>
  <c r="K12" i="8"/>
  <c r="J12" i="8" s="1"/>
  <c r="E12" i="8" l="1"/>
  <c r="D12" i="8" l="1"/>
  <c r="D25" i="6"/>
  <c r="F24" i="6"/>
  <c r="E24" i="6"/>
  <c r="C23" i="6"/>
  <c r="E23" i="6" s="1"/>
  <c r="E22" i="6"/>
  <c r="C21" i="6"/>
  <c r="E21" i="6" s="1"/>
  <c r="C20" i="6"/>
  <c r="E20" i="6" s="1"/>
  <c r="C19" i="6"/>
  <c r="E19" i="6" s="1"/>
  <c r="E18" i="6"/>
  <c r="F18" i="6" s="1"/>
  <c r="C18" i="6"/>
  <c r="C17" i="6"/>
  <c r="E17" i="6" s="1"/>
  <c r="D13" i="6"/>
  <c r="D12" i="6"/>
  <c r="C12" i="6"/>
  <c r="B12" i="6"/>
  <c r="E10" i="6"/>
  <c r="E9" i="6"/>
  <c r="E8" i="6"/>
  <c r="E7" i="6"/>
  <c r="E6" i="6"/>
  <c r="E5" i="6"/>
  <c r="E4" i="6"/>
  <c r="E12" i="6" s="1"/>
  <c r="B11" i="5"/>
  <c r="B10" i="5"/>
  <c r="B9" i="5"/>
  <c r="B8" i="5"/>
  <c r="B7" i="5"/>
  <c r="B6" i="5"/>
  <c r="B5" i="5"/>
  <c r="B4" i="5"/>
  <c r="I4" i="4"/>
  <c r="G4" i="4"/>
  <c r="H4" i="4" s="1"/>
  <c r="I5" i="4"/>
  <c r="D5" i="4"/>
  <c r="C5" i="4"/>
  <c r="B5" i="4"/>
  <c r="E4" i="4"/>
  <c r="E3" i="4"/>
  <c r="E5" i="4" s="1"/>
  <c r="C3" i="4"/>
  <c r="B9" i="3"/>
  <c r="B8" i="3"/>
  <c r="B7" i="3"/>
  <c r="B6" i="3"/>
  <c r="H12" i="2"/>
  <c r="I12" i="2" s="1"/>
  <c r="G5" i="2"/>
  <c r="H5" i="2" s="1"/>
  <c r="I5" i="2" s="1"/>
  <c r="G6" i="2"/>
  <c r="H6" i="2" s="1"/>
  <c r="I6" i="2" s="1"/>
  <c r="G7" i="2"/>
  <c r="G8" i="2"/>
  <c r="H8" i="2" s="1"/>
  <c r="I8" i="2" s="1"/>
  <c r="G4" i="2"/>
  <c r="H4" i="2" s="1"/>
  <c r="H18" i="2"/>
  <c r="I18" i="2" s="1"/>
  <c r="H15" i="2"/>
  <c r="I15" i="2" s="1"/>
  <c r="H14" i="2"/>
  <c r="I14" i="2" s="1"/>
  <c r="I13" i="2"/>
  <c r="H13" i="2"/>
  <c r="H17" i="2" s="1"/>
  <c r="I17" i="2" s="1"/>
  <c r="D9" i="2"/>
  <c r="E9" i="2" s="1"/>
  <c r="C9" i="2"/>
  <c r="B9" i="2"/>
  <c r="E8" i="2"/>
  <c r="F8" i="2" s="1"/>
  <c r="H7" i="2"/>
  <c r="I7" i="2" s="1"/>
  <c r="E7" i="2"/>
  <c r="F7" i="2" s="1"/>
  <c r="F6" i="2"/>
  <c r="E6" i="2"/>
  <c r="F5" i="2"/>
  <c r="E5" i="2"/>
  <c r="F4" i="2"/>
  <c r="F9" i="2" s="1"/>
  <c r="E4" i="2"/>
  <c r="K41" i="1"/>
  <c r="J41" i="1"/>
  <c r="I41" i="1"/>
  <c r="H41" i="1"/>
  <c r="G41" i="1"/>
  <c r="F41" i="1"/>
  <c r="E41" i="1"/>
  <c r="D41" i="1"/>
  <c r="D42" i="1" s="1"/>
  <c r="C41" i="1"/>
  <c r="C42" i="1" s="1"/>
  <c r="B41" i="1"/>
  <c r="B42" i="1" s="1"/>
  <c r="B27" i="1"/>
  <c r="C13" i="1"/>
  <c r="B12" i="5" l="1"/>
  <c r="E13" i="8" s="1"/>
  <c r="F20" i="6"/>
  <c r="E13" i="6"/>
  <c r="F19" i="6"/>
  <c r="F23" i="6"/>
  <c r="E25" i="6"/>
  <c r="F17" i="6"/>
  <c r="F21" i="6"/>
  <c r="C25" i="6"/>
  <c r="F22" i="6"/>
  <c r="H19" i="2"/>
  <c r="H9" i="2"/>
  <c r="I4" i="2"/>
  <c r="I9" i="2" s="1"/>
  <c r="H16" i="2"/>
  <c r="I16" i="2" s="1"/>
  <c r="F13" i="1"/>
  <c r="B14" i="1" s="1"/>
  <c r="G13" i="1"/>
  <c r="G13" i="8" l="1"/>
  <c r="G14" i="8" s="1"/>
  <c r="G15" i="8" s="1"/>
  <c r="G17" i="8" s="1"/>
  <c r="I13" i="8"/>
  <c r="E14" i="8"/>
  <c r="E15" i="8" s="1"/>
  <c r="E17" i="8" s="1"/>
  <c r="F25" i="6"/>
  <c r="H21" i="2"/>
  <c r="H22" i="2" s="1"/>
  <c r="I22" i="2" s="1"/>
  <c r="I19" i="2"/>
  <c r="C14" i="1"/>
  <c r="K13" i="8" l="1"/>
  <c r="K14" i="8" s="1"/>
  <c r="K15" i="8" s="1"/>
  <c r="K17" i="8" s="1"/>
  <c r="I14" i="8"/>
  <c r="I15" i="8" s="1"/>
  <c r="I17" i="8" s="1"/>
  <c r="I21" i="2"/>
  <c r="G14" i="1"/>
  <c r="F14" i="1"/>
  <c r="B15" i="1" s="1"/>
  <c r="D15" i="1" l="1"/>
  <c r="C15" i="1"/>
  <c r="D16" i="1" l="1"/>
  <c r="G15" i="1"/>
  <c r="E15" i="1"/>
  <c r="H15" i="1" s="1"/>
  <c r="E40" i="1" l="1"/>
  <c r="E42" i="1"/>
  <c r="D17" i="1"/>
  <c r="F15" i="1"/>
  <c r="B16" i="1" s="1"/>
  <c r="C16" i="1" l="1"/>
  <c r="G40" i="1"/>
  <c r="G42" i="1" s="1"/>
  <c r="D18" i="1"/>
  <c r="H17" i="1"/>
  <c r="E16" i="1" l="1"/>
  <c r="G16" i="1"/>
  <c r="H40" i="1"/>
  <c r="H42" i="1" s="1"/>
  <c r="D19" i="1"/>
  <c r="H18" i="1"/>
  <c r="I40" i="1" l="1"/>
  <c r="I42" i="1" s="1"/>
  <c r="H19" i="1"/>
  <c r="D20" i="1"/>
  <c r="E20" i="1"/>
  <c r="F40" i="1"/>
  <c r="H16" i="1"/>
  <c r="H20" i="1" s="1"/>
  <c r="F16" i="1"/>
  <c r="B17" i="1" s="1"/>
  <c r="F42" i="1" l="1"/>
  <c r="B26" i="1"/>
  <c r="C17" i="1"/>
  <c r="G17" i="1" s="1"/>
  <c r="F17" i="1" l="1"/>
  <c r="B18" i="1" s="1"/>
  <c r="C18" i="1" l="1"/>
  <c r="G18" i="1" s="1"/>
  <c r="F18" i="1" l="1"/>
  <c r="B19" i="1" s="1"/>
  <c r="C19" i="1" s="1"/>
  <c r="G19" i="1"/>
  <c r="C20" i="1"/>
  <c r="B2" i="5" l="1"/>
  <c r="B13" i="5" l="1"/>
  <c r="C7" i="5"/>
  <c r="C11" i="5"/>
  <c r="C10" i="5"/>
  <c r="C12" i="5"/>
  <c r="C8" i="5"/>
  <c r="C9" i="5"/>
  <c r="C4" i="5"/>
  <c r="C5" i="5"/>
  <c r="C6" i="5"/>
  <c r="C13" i="5" l="1"/>
  <c r="B14" i="5"/>
  <c r="C14" i="5" s="1"/>
  <c r="I3" i="4" l="1"/>
  <c r="B24" i="1"/>
  <c r="B28" i="1" s="1"/>
  <c r="G3" i="4"/>
  <c r="G5" i="4" l="1"/>
  <c r="H5" i="4" s="1"/>
  <c r="H3" i="4"/>
  <c r="B29" i="1"/>
  <c r="B32" i="1"/>
  <c r="B30" i="1"/>
  <c r="B34" i="1" s="1"/>
  <c r="B33" i="1" l="1"/>
  <c r="J40" i="1"/>
  <c r="K40" i="1"/>
  <c r="K42" i="1" s="1"/>
  <c r="J42" i="1" l="1"/>
  <c r="L42" i="1" s="1"/>
  <c r="L40" i="1"/>
  <c r="C45" i="1" s="1"/>
  <c r="C44" i="1"/>
</calcChain>
</file>

<file path=xl/sharedStrings.xml><?xml version="1.0" encoding="utf-8"?>
<sst xmlns="http://schemas.openxmlformats.org/spreadsheetml/2006/main" count="229" uniqueCount="146">
  <si>
    <t>Royal Eagle Green Valley Project</t>
  </si>
  <si>
    <t>Total Investment</t>
  </si>
  <si>
    <t>Equity Partner Private 10MM</t>
  </si>
  <si>
    <t xml:space="preserve">Public Company Canada RTO </t>
  </si>
  <si>
    <t>Private Investment Length</t>
  </si>
  <si>
    <t>years</t>
  </si>
  <si>
    <t xml:space="preserve">Currency </t>
  </si>
  <si>
    <t>USD</t>
  </si>
  <si>
    <t>Rate</t>
  </si>
  <si>
    <t>Upside Investor</t>
  </si>
  <si>
    <t>Profits</t>
  </si>
  <si>
    <t>Portfolio Management</t>
  </si>
  <si>
    <t>Annual</t>
  </si>
  <si>
    <t>1st Phase 10MM Investment 10% Preferred Interest</t>
  </si>
  <si>
    <t>Yr</t>
  </si>
  <si>
    <t>Investment</t>
  </si>
  <si>
    <t>Interest</t>
  </si>
  <si>
    <t>Capital</t>
  </si>
  <si>
    <t>New Capital</t>
  </si>
  <si>
    <t>Total ROI 7 yr</t>
  </si>
  <si>
    <t>Capital + Interest</t>
  </si>
  <si>
    <t>Totals</t>
  </si>
  <si>
    <t>Second Phase Upside Ownership</t>
  </si>
  <si>
    <t>Income GV &amp; Bamboo</t>
  </si>
  <si>
    <t>Interest Paid</t>
  </si>
  <si>
    <t>Management Fees</t>
  </si>
  <si>
    <t>Subtotal I</t>
  </si>
  <si>
    <t>Investor 33% Ownership</t>
  </si>
  <si>
    <t>67% Royal Eagle</t>
  </si>
  <si>
    <t>Total Distribution</t>
  </si>
  <si>
    <t>Investor Ownership 33%</t>
  </si>
  <si>
    <t>Royal Eagle 67%</t>
  </si>
  <si>
    <t>INVESTOR</t>
  </si>
  <si>
    <t xml:space="preserve">Totals </t>
  </si>
  <si>
    <t>Investor</t>
  </si>
  <si>
    <t>Ct</t>
  </si>
  <si>
    <t>(1+R)^T</t>
  </si>
  <si>
    <t>Ct/(1+R)^T</t>
  </si>
  <si>
    <t>IRR</t>
  </si>
  <si>
    <t>ROI Investor $</t>
  </si>
  <si>
    <t>Annual ROI %</t>
  </si>
  <si>
    <t xml:space="preserve">Bamboo </t>
  </si>
  <si>
    <t>Model</t>
  </si>
  <si>
    <t>M2</t>
  </si>
  <si>
    <t>North</t>
  </si>
  <si>
    <t>Central</t>
  </si>
  <si>
    <t>Total</t>
  </si>
  <si>
    <t>Total m2</t>
  </si>
  <si>
    <t>Unit Price</t>
  </si>
  <si>
    <t>Total sales per unit</t>
  </si>
  <si>
    <t>% sales</t>
  </si>
  <si>
    <t>A</t>
  </si>
  <si>
    <t>B</t>
  </si>
  <si>
    <t>C</t>
  </si>
  <si>
    <t>D1</t>
  </si>
  <si>
    <t>D2</t>
  </si>
  <si>
    <t>Total Revenue</t>
  </si>
  <si>
    <t>Cost of the Proyect</t>
  </si>
  <si>
    <t>Cost</t>
  </si>
  <si>
    <t>% vs Revenue</t>
  </si>
  <si>
    <t>Land</t>
  </si>
  <si>
    <t>Construction</t>
  </si>
  <si>
    <t>Project Management 2%</t>
  </si>
  <si>
    <t>Marketing .8%</t>
  </si>
  <si>
    <t>Sales Commission 4%</t>
  </si>
  <si>
    <t>Taxes %</t>
  </si>
  <si>
    <t>Financial Costs*</t>
  </si>
  <si>
    <t>Total Costs</t>
  </si>
  <si>
    <t>Profit/Loss</t>
  </si>
  <si>
    <t>Royal Eagle</t>
  </si>
  <si>
    <t>USE OF FUNDS</t>
  </si>
  <si>
    <t>Capital Requierement</t>
  </si>
  <si>
    <t>Green Valley Investment</t>
  </si>
  <si>
    <t>Bamboo</t>
  </si>
  <si>
    <t>Investment Bank/Public Company 5%</t>
  </si>
  <si>
    <t>Transaction Costs 2.5%</t>
  </si>
  <si>
    <t>Cash reserves Dominican Republic &amp; Mexico Projects</t>
  </si>
  <si>
    <t>Total Use of Funds</t>
  </si>
  <si>
    <t>Use of Funds:</t>
  </si>
  <si>
    <t>Royal Eagle (ROI &amp; IRR) Green Valley &amp; Bamboo Project</t>
  </si>
  <si>
    <t>Amount</t>
  </si>
  <si>
    <t>Ownership</t>
  </si>
  <si>
    <t>Valuation Pre-Money</t>
  </si>
  <si>
    <r>
      <t>Valuation After-Money</t>
    </r>
    <r>
      <rPr>
        <b/>
        <sz val="12"/>
        <color theme="1" tint="0.249977111117893"/>
        <rFont val="Arial"/>
        <family val="2"/>
      </rPr>
      <t>¹</t>
    </r>
  </si>
  <si>
    <t>Term</t>
  </si>
  <si>
    <t>ROI RE</t>
  </si>
  <si>
    <t>ROI RE Times</t>
  </si>
  <si>
    <t xml:space="preserve">Green Valley </t>
  </si>
  <si>
    <t>10 years</t>
  </si>
  <si>
    <t>4 years</t>
  </si>
  <si>
    <t>¹ Green Valley Business Plan</t>
  </si>
  <si>
    <t>Greenvalley Land Development</t>
  </si>
  <si>
    <t>Cost of the Project</t>
  </si>
  <si>
    <t>Project Management 3%</t>
  </si>
  <si>
    <t>Marketing 2%</t>
  </si>
  <si>
    <t>Sales Commission 3%</t>
  </si>
  <si>
    <t>Transfer of Real Estate</t>
  </si>
  <si>
    <t>Royal Eagle 20%</t>
  </si>
  <si>
    <t>GreenValley 7 Phases</t>
  </si>
  <si>
    <t>Phase</t>
  </si>
  <si>
    <t>Area (m²)</t>
  </si>
  <si>
    <t>Useful Area (m²)</t>
  </si>
  <si>
    <t>Sold Area (m²)</t>
  </si>
  <si>
    <t>Available Area (m²)</t>
  </si>
  <si>
    <t>Greenvalley 7 Phases</t>
  </si>
  <si>
    <t>sqmts (m2)</t>
  </si>
  <si>
    <t>Type</t>
  </si>
  <si>
    <t>Description</t>
  </si>
  <si>
    <t>Site Planning</t>
  </si>
  <si>
    <t>Sold</t>
  </si>
  <si>
    <t>Available</t>
  </si>
  <si>
    <t>% Available</t>
  </si>
  <si>
    <t>R3</t>
  </si>
  <si>
    <t>LOW DENSITY RESIDENTIAL</t>
  </si>
  <si>
    <t>RM</t>
  </si>
  <si>
    <t>MEDIUM DENSITY RESIDENTIAL</t>
  </si>
  <si>
    <t>RM3</t>
  </si>
  <si>
    <t>HIGH DENSITY RESIDENTIAL</t>
  </si>
  <si>
    <t>RM3-C2</t>
  </si>
  <si>
    <t>MIXED HIGH DENSITY</t>
  </si>
  <si>
    <t>C2</t>
  </si>
  <si>
    <t>HIGH DENSITY COMMERCIAL</t>
  </si>
  <si>
    <t>C2REC</t>
  </si>
  <si>
    <t>COMMERCIAL RECREATIONAL</t>
  </si>
  <si>
    <t>C1</t>
  </si>
  <si>
    <t>LOW DENSITY COMMERCIAL</t>
  </si>
  <si>
    <t>SIU2</t>
  </si>
  <si>
    <t>INSTITUTIONAL</t>
  </si>
  <si>
    <t>Fair Market Value</t>
  </si>
  <si>
    <t>Market Value</t>
  </si>
  <si>
    <t>Thrid Party Value/Capital Market Value</t>
  </si>
  <si>
    <t>%</t>
  </si>
  <si>
    <t>Greenvalley Today</t>
  </si>
  <si>
    <t>Market willing to pay today</t>
  </si>
  <si>
    <t>Appraisal Value 2018</t>
  </si>
  <si>
    <t>Average Price Sold</t>
  </si>
  <si>
    <t>Prices Sold</t>
  </si>
  <si>
    <t>Max. Price Sold</t>
  </si>
  <si>
    <t>Max. Price Sold Value</t>
  </si>
  <si>
    <t>Appraisal Price 2018</t>
  </si>
  <si>
    <t>Greenvalley Projections</t>
  </si>
  <si>
    <t>2019-2027</t>
  </si>
  <si>
    <t>Development Cost  225 dlls x m2</t>
  </si>
  <si>
    <t>Royal Eagle Investment</t>
  </si>
  <si>
    <t>ROI %</t>
  </si>
  <si>
    <t>Greenvalley 7 Phases Land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</si>
</sst>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164" formatCode="&quot;$&quot;#,##0"/>
    <numFmt numFmtId="165" formatCode="#,##0.0000000"/>
    <numFmt numFmtId="166" formatCode="0.0%"/>
    <numFmt numFmtId="167" formatCode="_(&quot;$&quot;* #,##0_);_(&quot;$&quot;* \(#,##0\);_(&quot;$&quot;* &quot;-&quot;??_);_(@_)"/>
    <numFmt numFmtId="168" formatCode="###,##0\ &quot;m²&quot;"/>
    <numFmt numFmtId="169" formatCode="#,##0.00000000000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8" tint="-0.499984740745262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b/>
      <sz val="12"/>
      <color theme="8" tint="-0.49998474074526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 tint="0.249977111117893"/>
      <name val="Calibri"/>
      <family val="2"/>
      <scheme val="minor"/>
    </font>
    <font>
      <b/>
      <sz val="12"/>
      <color theme="1" tint="0.249977111117893"/>
      <name val="Calibri"/>
      <family val="2"/>
      <scheme val="minor"/>
    </font>
    <font>
      <b/>
      <sz val="20"/>
      <color theme="1" tint="0.249977111117893"/>
      <name val="Calibri"/>
      <family val="2"/>
      <scheme val="minor"/>
    </font>
    <font>
      <b/>
      <sz val="12"/>
      <color theme="1" tint="0.249977111117893"/>
      <name val="Arial"/>
      <family val="2"/>
    </font>
    <font>
      <u/>
      <sz val="12"/>
      <color theme="1" tint="0.249977111117893"/>
      <name val="Calibri"/>
      <family val="2"/>
      <scheme val="minor"/>
    </font>
    <font>
      <u val="singleAccounting"/>
      <sz val="12"/>
      <color theme="1" tint="0.249977111117893"/>
      <name val="Calibri"/>
      <family val="2"/>
      <scheme val="minor"/>
    </font>
    <font>
      <sz val="14"/>
      <color theme="1" tint="0.249977111117893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6"/>
      <color theme="1" tint="0.249977111117893"/>
      <name val="Calibri"/>
      <family val="2"/>
      <scheme val="minor"/>
    </font>
    <font>
      <b/>
      <sz val="14"/>
      <color theme="1" tint="0.249977111117893"/>
      <name val="Calibri"/>
      <family val="2"/>
      <scheme val="minor"/>
    </font>
    <font>
      <sz val="12"/>
      <color theme="1" tint="0.14999847407452621"/>
      <name val="Calibri"/>
      <family val="2"/>
      <scheme val="minor"/>
    </font>
    <font>
      <b/>
      <sz val="12"/>
      <color theme="1" tint="0.1499984740745262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9"/>
      <color theme="1" tint="0.14999847407452621"/>
      <name val="Calibri"/>
      <family val="2"/>
      <scheme val="minor"/>
    </font>
    <font>
      <sz val="10"/>
      <color theme="1" tint="0.14999847407452621"/>
      <name val="Calibri"/>
      <family val="2"/>
      <scheme val="minor"/>
    </font>
    <font>
      <sz val="11"/>
      <color theme="1" tint="0.14999847407452621"/>
      <name val="Calibri"/>
      <family val="2"/>
      <scheme val="minor"/>
    </font>
    <font>
      <b/>
      <sz val="10"/>
      <color theme="1" tint="0.14999847407452621"/>
      <name val="Calibri"/>
      <family val="2"/>
      <scheme val="minor"/>
    </font>
    <font>
      <b/>
      <sz val="11"/>
      <color theme="1" tint="0.1499984740745262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163">
    <xf numFmtId="0" fontId="0" fillId="0" borderId="0" xfId="0"/>
    <xf numFmtId="0" fontId="0" fillId="3" borderId="0" xfId="0" applyFill="1"/>
    <xf numFmtId="0" fontId="4" fillId="4" borderId="0" xfId="0" applyFont="1" applyFill="1"/>
    <xf numFmtId="44" fontId="4" fillId="4" borderId="0" xfId="1" applyFont="1" applyFill="1"/>
    <xf numFmtId="0" fontId="0" fillId="4" borderId="0" xfId="0" applyFill="1"/>
    <xf numFmtId="44" fontId="5" fillId="4" borderId="0" xfId="1" applyFont="1" applyFill="1"/>
    <xf numFmtId="0" fontId="5" fillId="4" borderId="0" xfId="0" applyFont="1" applyFill="1" applyAlignment="1">
      <alignment horizontal="center"/>
    </xf>
    <xf numFmtId="9" fontId="5" fillId="4" borderId="0" xfId="0" applyNumberFormat="1" applyFont="1" applyFill="1" applyAlignment="1">
      <alignment horizontal="center"/>
    </xf>
    <xf numFmtId="10" fontId="5" fillId="4" borderId="0" xfId="0" applyNumberFormat="1" applyFont="1" applyFill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44" fontId="0" fillId="3" borderId="0" xfId="0" applyNumberFormat="1" applyFill="1"/>
    <xf numFmtId="44" fontId="0" fillId="3" borderId="0" xfId="1" applyFont="1" applyFill="1"/>
    <xf numFmtId="44" fontId="0" fillId="3" borderId="0" xfId="1" applyFont="1" applyFill="1" applyAlignment="1">
      <alignment horizontal="center"/>
    </xf>
    <xf numFmtId="10" fontId="0" fillId="3" borderId="0" xfId="2" applyNumberFormat="1" applyFont="1" applyFill="1" applyAlignment="1">
      <alignment horizontal="center"/>
    </xf>
    <xf numFmtId="10" fontId="0" fillId="3" borderId="0" xfId="0" applyNumberFormat="1" applyFill="1"/>
    <xf numFmtId="10" fontId="0" fillId="3" borderId="0" xfId="2" applyNumberFormat="1" applyFont="1" applyFill="1"/>
    <xf numFmtId="0" fontId="0" fillId="3" borderId="2" xfId="0" applyFill="1" applyBorder="1" applyAlignment="1">
      <alignment horizontal="center"/>
    </xf>
    <xf numFmtId="44" fontId="0" fillId="3" borderId="2" xfId="0" applyNumberFormat="1" applyFill="1" applyBorder="1"/>
    <xf numFmtId="44" fontId="0" fillId="3" borderId="2" xfId="1" applyFont="1" applyFill="1" applyBorder="1"/>
    <xf numFmtId="10" fontId="0" fillId="3" borderId="2" xfId="2" applyNumberFormat="1" applyFont="1" applyFill="1" applyBorder="1" applyAlignment="1">
      <alignment horizontal="center"/>
    </xf>
    <xf numFmtId="0" fontId="4" fillId="4" borderId="0" xfId="0" applyFont="1" applyFill="1" applyAlignment="1">
      <alignment horizontal="center"/>
    </xf>
    <xf numFmtId="44" fontId="4" fillId="4" borderId="0" xfId="0" applyNumberFormat="1" applyFont="1" applyFill="1"/>
    <xf numFmtId="10" fontId="4" fillId="4" borderId="0" xfId="2" applyNumberFormat="1" applyFont="1" applyFill="1"/>
    <xf numFmtId="44" fontId="0" fillId="3" borderId="0" xfId="2" applyNumberFormat="1" applyFont="1" applyFill="1"/>
    <xf numFmtId="9" fontId="0" fillId="3" borderId="0" xfId="2" applyFont="1" applyFill="1" applyAlignment="1">
      <alignment horizontal="center"/>
    </xf>
    <xf numFmtId="9" fontId="0" fillId="3" borderId="0" xfId="2" applyFont="1" applyFill="1"/>
    <xf numFmtId="16" fontId="0" fillId="3" borderId="0" xfId="0" applyNumberFormat="1" applyFill="1"/>
    <xf numFmtId="0" fontId="7" fillId="3" borderId="3" xfId="0" applyFont="1" applyFill="1" applyBorder="1"/>
    <xf numFmtId="164" fontId="8" fillId="3" borderId="3" xfId="0" applyNumberFormat="1" applyFont="1" applyFill="1" applyBorder="1" applyAlignment="1">
      <alignment horizontal="center"/>
    </xf>
    <xf numFmtId="165" fontId="0" fillId="3" borderId="0" xfId="0" applyNumberFormat="1" applyFill="1"/>
    <xf numFmtId="4" fontId="8" fillId="3" borderId="3" xfId="0" applyNumberFormat="1" applyFont="1" applyFill="1" applyBorder="1" applyAlignment="1">
      <alignment horizontal="center"/>
    </xf>
    <xf numFmtId="3" fontId="8" fillId="3" borderId="3" xfId="0" applyNumberFormat="1" applyFont="1" applyFill="1" applyBorder="1" applyAlignment="1">
      <alignment horizontal="center"/>
    </xf>
    <xf numFmtId="164" fontId="0" fillId="3" borderId="0" xfId="0" applyNumberFormat="1" applyFill="1"/>
    <xf numFmtId="0" fontId="5" fillId="4" borderId="0" xfId="0" applyFont="1" applyFill="1"/>
    <xf numFmtId="0" fontId="9" fillId="4" borderId="0" xfId="0" applyFont="1" applyFill="1"/>
    <xf numFmtId="0" fontId="9" fillId="4" borderId="0" xfId="0" applyFont="1" applyFill="1" applyAlignment="1">
      <alignment horizontal="center"/>
    </xf>
    <xf numFmtId="0" fontId="10" fillId="4" borderId="0" xfId="0" applyFont="1" applyFill="1" applyAlignment="1">
      <alignment horizontal="center"/>
    </xf>
    <xf numFmtId="10" fontId="10" fillId="4" borderId="0" xfId="2" applyNumberFormat="1" applyFont="1" applyFill="1" applyAlignment="1">
      <alignment horizontal="center"/>
    </xf>
    <xf numFmtId="44" fontId="10" fillId="4" borderId="0" xfId="1" applyFont="1" applyFill="1" applyAlignment="1">
      <alignment horizontal="center"/>
    </xf>
    <xf numFmtId="0" fontId="6" fillId="3" borderId="0" xfId="0" applyFont="1" applyFill="1" applyAlignment="1">
      <alignment horizontal="center"/>
    </xf>
    <xf numFmtId="44" fontId="6" fillId="3" borderId="0" xfId="0" applyNumberFormat="1" applyFont="1" applyFill="1"/>
    <xf numFmtId="10" fontId="6" fillId="3" borderId="0" xfId="2" applyNumberFormat="1" applyFont="1" applyFill="1"/>
    <xf numFmtId="0" fontId="2" fillId="4" borderId="0" xfId="0" applyFont="1" applyFill="1" applyAlignment="1">
      <alignment horizontal="center"/>
    </xf>
    <xf numFmtId="10" fontId="2" fillId="4" borderId="0" xfId="0" applyNumberFormat="1" applyFont="1" applyFill="1" applyAlignment="1">
      <alignment horizontal="center"/>
    </xf>
    <xf numFmtId="0" fontId="10" fillId="4" borderId="3" xfId="0" applyFont="1" applyFill="1" applyBorder="1" applyAlignment="1">
      <alignment horizontal="center"/>
    </xf>
    <xf numFmtId="0" fontId="10" fillId="4" borderId="3" xfId="0" applyFont="1" applyFill="1" applyBorder="1"/>
    <xf numFmtId="3" fontId="10" fillId="4" borderId="3" xfId="0" applyNumberFormat="1" applyFont="1" applyFill="1" applyBorder="1" applyAlignment="1">
      <alignment horizontal="center"/>
    </xf>
    <xf numFmtId="0" fontId="11" fillId="4" borderId="0" xfId="0" applyFont="1" applyFill="1"/>
    <xf numFmtId="0" fontId="5" fillId="3" borderId="0" xfId="0" applyFont="1" applyFill="1" applyAlignment="1">
      <alignment horizontal="center"/>
    </xf>
    <xf numFmtId="166" fontId="0" fillId="3" borderId="0" xfId="2" applyNumberFormat="1" applyFont="1" applyFill="1" applyAlignment="1">
      <alignment horizontal="center"/>
    </xf>
    <xf numFmtId="44" fontId="5" fillId="4" borderId="0" xfId="0" applyNumberFormat="1" applyFont="1" applyFill="1" applyAlignment="1">
      <alignment horizontal="center"/>
    </xf>
    <xf numFmtId="166" fontId="5" fillId="4" borderId="0" xfId="0" applyNumberFormat="1" applyFont="1" applyFill="1"/>
    <xf numFmtId="44" fontId="5" fillId="4" borderId="0" xfId="0" applyNumberFormat="1" applyFont="1" applyFill="1"/>
    <xf numFmtId="10" fontId="5" fillId="4" borderId="0" xfId="2" applyNumberFormat="1" applyFont="1" applyFill="1"/>
    <xf numFmtId="44" fontId="0" fillId="4" borderId="0" xfId="0" applyNumberFormat="1" applyFill="1"/>
    <xf numFmtId="10" fontId="0" fillId="4" borderId="0" xfId="2" applyNumberFormat="1" applyFont="1" applyFill="1"/>
    <xf numFmtId="44" fontId="0" fillId="4" borderId="0" xfId="1" applyFont="1" applyFill="1"/>
    <xf numFmtId="0" fontId="10" fillId="4" borderId="0" xfId="0" applyFont="1" applyFill="1" applyAlignment="1">
      <alignment horizontal="center"/>
    </xf>
    <xf numFmtId="0" fontId="8" fillId="3" borderId="0" xfId="0" applyFont="1" applyFill="1"/>
    <xf numFmtId="44" fontId="8" fillId="3" borderId="0" xfId="1" applyFont="1" applyFill="1"/>
    <xf numFmtId="0" fontId="0" fillId="3" borderId="0" xfId="0" applyFont="1" applyFill="1"/>
    <xf numFmtId="44" fontId="8" fillId="3" borderId="0" xfId="0" applyNumberFormat="1" applyFont="1" applyFill="1"/>
    <xf numFmtId="44" fontId="10" fillId="4" borderId="0" xfId="0" applyNumberFormat="1" applyFont="1" applyFill="1" applyAlignment="1">
      <alignment horizontal="center"/>
    </xf>
    <xf numFmtId="0" fontId="4" fillId="4" borderId="1" xfId="0" applyFont="1" applyFill="1" applyBorder="1"/>
    <xf numFmtId="0" fontId="10" fillId="4" borderId="2" xfId="0" applyFont="1" applyFill="1" applyBorder="1" applyAlignment="1">
      <alignment horizontal="center"/>
    </xf>
    <xf numFmtId="167" fontId="9" fillId="4" borderId="0" xfId="1" applyNumberFormat="1" applyFont="1" applyFill="1"/>
    <xf numFmtId="166" fontId="9" fillId="4" borderId="0" xfId="0" applyNumberFormat="1" applyFont="1" applyFill="1" applyAlignment="1">
      <alignment horizontal="center"/>
    </xf>
    <xf numFmtId="167" fontId="9" fillId="4" borderId="0" xfId="0" applyNumberFormat="1" applyFont="1" applyFill="1"/>
    <xf numFmtId="2" fontId="9" fillId="4" borderId="0" xfId="2" applyNumberFormat="1" applyFont="1" applyFill="1" applyAlignment="1">
      <alignment horizontal="center"/>
    </xf>
    <xf numFmtId="10" fontId="9" fillId="4" borderId="0" xfId="0" applyNumberFormat="1" applyFont="1" applyFill="1" applyAlignment="1">
      <alignment horizontal="center"/>
    </xf>
    <xf numFmtId="0" fontId="13" fillId="4" borderId="0" xfId="0" applyFont="1" applyFill="1" applyAlignment="1">
      <alignment horizontal="center"/>
    </xf>
    <xf numFmtId="167" fontId="13" fillId="4" borderId="0" xfId="1" applyNumberFormat="1" applyFont="1" applyFill="1" applyAlignment="1">
      <alignment horizontal="center"/>
    </xf>
    <xf numFmtId="166" fontId="13" fillId="4" borderId="0" xfId="0" applyNumberFormat="1" applyFont="1" applyFill="1" applyAlignment="1">
      <alignment horizontal="center"/>
    </xf>
    <xf numFmtId="167" fontId="14" fillId="4" borderId="0" xfId="0" applyNumberFormat="1" applyFont="1" applyFill="1"/>
    <xf numFmtId="2" fontId="13" fillId="4" borderId="0" xfId="0" applyNumberFormat="1" applyFont="1" applyFill="1" applyAlignment="1">
      <alignment horizontal="center"/>
    </xf>
    <xf numFmtId="166" fontId="9" fillId="4" borderId="0" xfId="2" applyNumberFormat="1" applyFont="1" applyFill="1" applyAlignment="1">
      <alignment horizontal="center"/>
    </xf>
    <xf numFmtId="2" fontId="9" fillId="4" borderId="0" xfId="0" applyNumberFormat="1" applyFont="1" applyFill="1" applyAlignment="1">
      <alignment horizontal="center"/>
    </xf>
    <xf numFmtId="0" fontId="10" fillId="4" borderId="0" xfId="0" applyFont="1" applyFill="1"/>
    <xf numFmtId="0" fontId="15" fillId="4" borderId="0" xfId="0" applyFont="1" applyFill="1"/>
    <xf numFmtId="10" fontId="9" fillId="4" borderId="4" xfId="0" applyNumberFormat="1" applyFont="1" applyFill="1" applyBorder="1" applyAlignment="1">
      <alignment horizontal="center"/>
    </xf>
    <xf numFmtId="166" fontId="10" fillId="4" borderId="0" xfId="0" applyNumberFormat="1" applyFont="1" applyFill="1" applyAlignment="1">
      <alignment horizontal="center"/>
    </xf>
    <xf numFmtId="44" fontId="10" fillId="4" borderId="0" xfId="0" applyNumberFormat="1" applyFont="1" applyFill="1"/>
    <xf numFmtId="0" fontId="2" fillId="4" borderId="3" xfId="3" applyFont="1" applyFill="1" applyBorder="1" applyAlignment="1">
      <alignment horizontal="center"/>
    </xf>
    <xf numFmtId="0" fontId="1" fillId="3" borderId="3" xfId="3" applyFill="1" applyBorder="1" applyAlignment="1">
      <alignment horizontal="center"/>
    </xf>
    <xf numFmtId="4" fontId="1" fillId="3" borderId="3" xfId="3" applyNumberFormat="1" applyFill="1" applyBorder="1" applyAlignment="1">
      <alignment horizontal="center"/>
    </xf>
    <xf numFmtId="3" fontId="1" fillId="3" borderId="3" xfId="3" applyNumberFormat="1" applyFill="1" applyBorder="1" applyAlignment="1">
      <alignment horizontal="center"/>
    </xf>
    <xf numFmtId="0" fontId="1" fillId="3" borderId="0" xfId="3" applyFill="1"/>
    <xf numFmtId="4" fontId="1" fillId="3" borderId="0" xfId="3" applyNumberFormat="1" applyFill="1" applyAlignment="1">
      <alignment horizontal="center"/>
    </xf>
    <xf numFmtId="168" fontId="2" fillId="4" borderId="3" xfId="3" applyNumberFormat="1" applyFont="1" applyFill="1" applyBorder="1" applyAlignment="1">
      <alignment horizontal="center"/>
    </xf>
    <xf numFmtId="0" fontId="0" fillId="3" borderId="0" xfId="2" applyNumberFormat="1" applyFont="1" applyFill="1" applyAlignment="1">
      <alignment horizontal="center"/>
    </xf>
    <xf numFmtId="10" fontId="2" fillId="4" borderId="3" xfId="2" applyNumberFormat="1" applyFont="1" applyFill="1" applyBorder="1" applyAlignment="1">
      <alignment horizontal="center"/>
    </xf>
    <xf numFmtId="0" fontId="16" fillId="3" borderId="3" xfId="0" applyFont="1" applyFill="1" applyBorder="1" applyAlignment="1">
      <alignment horizontal="center" vertical="center" wrapText="1" readingOrder="1"/>
    </xf>
    <xf numFmtId="0" fontId="16" fillId="3" borderId="5" xfId="0" applyFont="1" applyFill="1" applyBorder="1" applyAlignment="1">
      <alignment horizontal="left" wrapText="1" readingOrder="1"/>
    </xf>
    <xf numFmtId="3" fontId="17" fillId="3" borderId="3" xfId="3" applyNumberFormat="1" applyFont="1" applyFill="1" applyBorder="1" applyAlignment="1">
      <alignment horizontal="center"/>
    </xf>
    <xf numFmtId="4" fontId="17" fillId="3" borderId="3" xfId="3" applyNumberFormat="1" applyFont="1" applyFill="1" applyBorder="1" applyAlignment="1">
      <alignment horizontal="center"/>
    </xf>
    <xf numFmtId="10" fontId="17" fillId="3" borderId="3" xfId="2" applyNumberFormat="1" applyFont="1" applyFill="1" applyBorder="1" applyAlignment="1">
      <alignment horizontal="center"/>
    </xf>
    <xf numFmtId="169" fontId="0" fillId="3" borderId="0" xfId="0" applyNumberFormat="1" applyFill="1"/>
    <xf numFmtId="0" fontId="18" fillId="3" borderId="0" xfId="0" applyFont="1" applyFill="1" applyAlignment="1">
      <alignment horizontal="center"/>
    </xf>
    <xf numFmtId="4" fontId="0" fillId="3" borderId="0" xfId="0" applyNumberFormat="1" applyFill="1" applyAlignment="1">
      <alignment horizontal="center"/>
    </xf>
    <xf numFmtId="0" fontId="5" fillId="3" borderId="0" xfId="0" applyFont="1" applyFill="1"/>
    <xf numFmtId="3" fontId="10" fillId="4" borderId="3" xfId="3" applyNumberFormat="1" applyFont="1" applyFill="1" applyBorder="1" applyAlignment="1">
      <alignment horizontal="center"/>
    </xf>
    <xf numFmtId="10" fontId="10" fillId="4" borderId="3" xfId="2" applyNumberFormat="1" applyFont="1" applyFill="1" applyBorder="1" applyAlignment="1">
      <alignment horizontal="center"/>
    </xf>
    <xf numFmtId="0" fontId="10" fillId="4" borderId="3" xfId="3" applyFont="1" applyFill="1" applyBorder="1" applyAlignment="1">
      <alignment horizontal="center"/>
    </xf>
    <xf numFmtId="0" fontId="10" fillId="4" borderId="5" xfId="3" applyFont="1" applyFill="1" applyBorder="1" applyAlignment="1">
      <alignment horizontal="center"/>
    </xf>
    <xf numFmtId="0" fontId="2" fillId="3" borderId="0" xfId="3" applyFont="1" applyFill="1" applyBorder="1" applyAlignment="1">
      <alignment horizontal="center"/>
    </xf>
    <xf numFmtId="0" fontId="1" fillId="3" borderId="0" xfId="3" applyFill="1" applyBorder="1"/>
    <xf numFmtId="0" fontId="23" fillId="3" borderId="0" xfId="3" applyFont="1" applyFill="1" applyBorder="1" applyAlignment="1">
      <alignment horizontal="center"/>
    </xf>
    <xf numFmtId="0" fontId="17" fillId="3" borderId="0" xfId="3" applyFont="1" applyFill="1" applyBorder="1"/>
    <xf numFmtId="44" fontId="17" fillId="3" borderId="3" xfId="1" applyFont="1" applyFill="1" applyBorder="1" applyAlignment="1">
      <alignment horizontal="center"/>
    </xf>
    <xf numFmtId="44" fontId="17" fillId="3" borderId="3" xfId="3" applyNumberFormat="1" applyFont="1" applyFill="1" applyBorder="1" applyAlignment="1">
      <alignment horizontal="center"/>
    </xf>
    <xf numFmtId="44" fontId="17" fillId="3" borderId="3" xfId="1" applyFont="1" applyFill="1" applyBorder="1"/>
    <xf numFmtId="44" fontId="17" fillId="3" borderId="3" xfId="3" applyNumberFormat="1" applyFont="1" applyFill="1" applyBorder="1"/>
    <xf numFmtId="44" fontId="17" fillId="3" borderId="0" xfId="3" applyNumberFormat="1" applyFont="1" applyFill="1" applyBorder="1"/>
    <xf numFmtId="0" fontId="17" fillId="3" borderId="0" xfId="3" applyFont="1" applyFill="1"/>
    <xf numFmtId="0" fontId="21" fillId="4" borderId="0" xfId="3" applyFont="1" applyFill="1"/>
    <xf numFmtId="0" fontId="22" fillId="4" borderId="7" xfId="3" applyFont="1" applyFill="1" applyBorder="1" applyAlignment="1">
      <alignment horizontal="center"/>
    </xf>
    <xf numFmtId="0" fontId="22" fillId="4" borderId="3" xfId="3" applyFont="1" applyFill="1" applyBorder="1" applyAlignment="1">
      <alignment horizontal="center"/>
    </xf>
    <xf numFmtId="0" fontId="22" fillId="4" borderId="3" xfId="3" applyFont="1" applyFill="1" applyBorder="1"/>
    <xf numFmtId="0" fontId="16" fillId="4" borderId="3" xfId="0" applyFont="1" applyFill="1" applyBorder="1" applyAlignment="1">
      <alignment horizontal="center" vertical="center" wrapText="1" readingOrder="1"/>
    </xf>
    <xf numFmtId="0" fontId="16" fillId="4" borderId="3" xfId="0" applyFont="1" applyFill="1" applyBorder="1" applyAlignment="1">
      <alignment horizontal="left" wrapText="1" readingOrder="1"/>
    </xf>
    <xf numFmtId="9" fontId="16" fillId="4" borderId="3" xfId="2" applyFont="1" applyFill="1" applyBorder="1" applyAlignment="1">
      <alignment horizontal="center" wrapText="1" readingOrder="1"/>
    </xf>
    <xf numFmtId="44" fontId="17" fillId="4" borderId="3" xfId="1" applyFont="1" applyFill="1" applyBorder="1" applyAlignment="1">
      <alignment horizontal="center"/>
    </xf>
    <xf numFmtId="44" fontId="17" fillId="4" borderId="3" xfId="3" applyNumberFormat="1" applyFont="1" applyFill="1" applyBorder="1" applyAlignment="1">
      <alignment horizontal="center"/>
    </xf>
    <xf numFmtId="44" fontId="17" fillId="4" borderId="3" xfId="1" applyFont="1" applyFill="1" applyBorder="1"/>
    <xf numFmtId="44" fontId="17" fillId="4" borderId="3" xfId="3" applyNumberFormat="1" applyFont="1" applyFill="1" applyBorder="1"/>
    <xf numFmtId="44" fontId="23" fillId="4" borderId="3" xfId="1" applyFont="1" applyFill="1" applyBorder="1" applyAlignment="1">
      <alignment horizontal="center"/>
    </xf>
    <xf numFmtId="44" fontId="23" fillId="4" borderId="3" xfId="1" applyFont="1" applyFill="1" applyBorder="1"/>
    <xf numFmtId="44" fontId="23" fillId="4" borderId="5" xfId="1" applyFont="1" applyFill="1" applyBorder="1" applyAlignment="1">
      <alignment horizontal="center"/>
    </xf>
    <xf numFmtId="44" fontId="23" fillId="4" borderId="6" xfId="1" applyFont="1" applyFill="1" applyBorder="1" applyAlignment="1">
      <alignment horizontal="center"/>
    </xf>
    <xf numFmtId="0" fontId="25" fillId="4" borderId="3" xfId="3" applyFont="1" applyFill="1" applyBorder="1" applyAlignment="1">
      <alignment horizontal="center"/>
    </xf>
    <xf numFmtId="44" fontId="26" fillId="4" borderId="3" xfId="1" applyFont="1" applyFill="1" applyBorder="1"/>
    <xf numFmtId="0" fontId="26" fillId="4" borderId="3" xfId="3" applyFont="1" applyFill="1" applyBorder="1" applyAlignment="1">
      <alignment horizontal="center"/>
    </xf>
    <xf numFmtId="44" fontId="26" fillId="4" borderId="3" xfId="3" applyNumberFormat="1" applyFont="1" applyFill="1" applyBorder="1"/>
    <xf numFmtId="0" fontId="27" fillId="4" borderId="3" xfId="3" applyFont="1" applyFill="1" applyBorder="1" applyAlignment="1">
      <alignment horizontal="center"/>
    </xf>
    <xf numFmtId="44" fontId="27" fillId="4" borderId="3" xfId="1" applyFont="1" applyFill="1" applyBorder="1"/>
    <xf numFmtId="0" fontId="16" fillId="3" borderId="3" xfId="0" applyFont="1" applyFill="1" applyBorder="1" applyAlignment="1">
      <alignment horizontal="left" wrapText="1" readingOrder="1"/>
    </xf>
    <xf numFmtId="9" fontId="16" fillId="3" borderId="3" xfId="2" applyFont="1" applyFill="1" applyBorder="1" applyAlignment="1">
      <alignment horizontal="center" wrapText="1" readingOrder="1"/>
    </xf>
    <xf numFmtId="44" fontId="28" fillId="4" borderId="3" xfId="3" applyNumberFormat="1" applyFont="1" applyFill="1" applyBorder="1"/>
    <xf numFmtId="0" fontId="29" fillId="4" borderId="3" xfId="3" applyFont="1" applyFill="1" applyBorder="1" applyAlignment="1">
      <alignment horizontal="center"/>
    </xf>
    <xf numFmtId="44" fontId="29" fillId="4" borderId="3" xfId="1" applyFont="1" applyFill="1" applyBorder="1"/>
    <xf numFmtId="9" fontId="29" fillId="4" borderId="3" xfId="2" applyFont="1" applyFill="1" applyBorder="1" applyAlignment="1">
      <alignment horizontal="center"/>
    </xf>
    <xf numFmtId="0" fontId="10" fillId="4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0" xfId="0" applyFont="1" applyFill="1" applyAlignment="1">
      <alignment horizontal="center"/>
    </xf>
    <xf numFmtId="0" fontId="11" fillId="4" borderId="0" xfId="0" applyFont="1" applyFill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7" fillId="4" borderId="6" xfId="3" applyFont="1" applyFill="1" applyBorder="1" applyAlignment="1">
      <alignment horizontal="center"/>
    </xf>
    <xf numFmtId="0" fontId="7" fillId="4" borderId="3" xfId="3" applyFont="1" applyFill="1" applyBorder="1" applyAlignment="1">
      <alignment horizontal="center"/>
    </xf>
    <xf numFmtId="0" fontId="7" fillId="3" borderId="7" xfId="1" applyNumberFormat="1" applyFont="1" applyFill="1" applyBorder="1" applyAlignment="1">
      <alignment horizontal="center"/>
    </xf>
    <xf numFmtId="0" fontId="7" fillId="3" borderId="6" xfId="1" applyNumberFormat="1" applyFont="1" applyFill="1" applyBorder="1" applyAlignment="1">
      <alignment horizontal="center"/>
    </xf>
    <xf numFmtId="0" fontId="24" fillId="4" borderId="3" xfId="0" applyFont="1" applyFill="1" applyBorder="1" applyAlignment="1">
      <alignment horizontal="center" vertical="center" wrapText="1" readingOrder="1"/>
    </xf>
    <xf numFmtId="0" fontId="22" fillId="4" borderId="3" xfId="3" applyFont="1" applyFill="1" applyBorder="1" applyAlignment="1">
      <alignment horizontal="center"/>
    </xf>
    <xf numFmtId="0" fontId="22" fillId="4" borderId="5" xfId="3" applyFont="1" applyFill="1" applyBorder="1" applyAlignment="1">
      <alignment horizontal="center"/>
    </xf>
    <xf numFmtId="0" fontId="22" fillId="4" borderId="6" xfId="3" applyFont="1" applyFill="1" applyBorder="1" applyAlignment="1">
      <alignment horizontal="center"/>
    </xf>
    <xf numFmtId="0" fontId="20" fillId="4" borderId="5" xfId="3" applyFont="1" applyFill="1" applyBorder="1" applyAlignment="1">
      <alignment horizontal="center"/>
    </xf>
    <xf numFmtId="0" fontId="20" fillId="4" borderId="6" xfId="3" applyFont="1" applyFill="1" applyBorder="1" applyAlignment="1">
      <alignment horizontal="center"/>
    </xf>
    <xf numFmtId="0" fontId="10" fillId="4" borderId="5" xfId="3" applyFont="1" applyFill="1" applyBorder="1" applyAlignment="1">
      <alignment horizontal="center"/>
    </xf>
    <xf numFmtId="0" fontId="10" fillId="4" borderId="7" xfId="3" applyFont="1" applyFill="1" applyBorder="1" applyAlignment="1">
      <alignment horizontal="center"/>
    </xf>
    <xf numFmtId="0" fontId="10" fillId="4" borderId="6" xfId="3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 vertical="center" wrapText="1" readingOrder="1"/>
    </xf>
    <xf numFmtId="0" fontId="19" fillId="4" borderId="0" xfId="0" applyFont="1" applyFill="1" applyAlignment="1">
      <alignment horizontal="center"/>
    </xf>
  </cellXfs>
  <cellStyles count="4">
    <cellStyle name="Currency" xfId="1" builtinId="4"/>
    <cellStyle name="Normal" xfId="0" builtinId="0"/>
    <cellStyle name="Normal 2" xfId="3" xr:uid="{BA53614A-8C1A-4C88-B2D1-A86FC91E106F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0M%20Investment%20ROI%20IRR%20Green%20Valley%20Royal%20Eagle%20Bamboo%20April%20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M%20Royal%20Eagle/Documents/RE%20Capital%20Partners%20USA%20LLC/GREEN%20VALLEY/190121%20Business%20Pla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M%20Royal%20Eagle/Documents/RE%20Capital%20Partners%20USA%20LLC/GREEN%20VALLEY/Bamboo/Bamboo%20Projection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M%20Royal%20Eagle/Documents/RE%20Capital%20Partners%20USA%20LLC/GREEN%20VALLEY/Due%20Diligence/Inventory%20of%20Lots%20GVP%20AM%20Worksheet%200401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eenvalley Only"/>
      <sheetName val="Bamboo Only"/>
      <sheetName val="P&amp;L"/>
      <sheetName val="ROI-IRR GV &amp; RE"/>
      <sheetName val="Site Plan vs Land Available"/>
    </sheetNames>
    <sheetDataSet>
      <sheetData sheetId="0">
        <row r="12">
          <cell r="K12">
            <v>619197252.79999995</v>
          </cell>
        </row>
        <row r="23">
          <cell r="G23">
            <v>81531305.173490167</v>
          </cell>
          <cell r="I23">
            <v>0.24695824054716686</v>
          </cell>
        </row>
        <row r="24">
          <cell r="G24">
            <v>4073758.2439999999</v>
          </cell>
          <cell r="I24">
            <v>0.19789315197531154</v>
          </cell>
        </row>
      </sheetData>
      <sheetData sheetId="1">
        <row r="21">
          <cell r="M21">
            <v>168902.37527432333</v>
          </cell>
        </row>
        <row r="22">
          <cell r="M22">
            <v>217160.19678127285</v>
          </cell>
        </row>
        <row r="23">
          <cell r="M23">
            <v>265418.01828822237</v>
          </cell>
        </row>
        <row r="24">
          <cell r="M24">
            <v>313675.83979517187</v>
          </cell>
        </row>
        <row r="25">
          <cell r="M25">
            <v>313675.83979517187</v>
          </cell>
        </row>
        <row r="29">
          <cell r="N29">
            <v>3225920</v>
          </cell>
        </row>
      </sheetData>
      <sheetData sheetId="2"/>
      <sheetData sheetId="3">
        <row r="47">
          <cell r="I47">
            <v>7</v>
          </cell>
        </row>
        <row r="67">
          <cell r="G67">
            <v>85605063.417490169</v>
          </cell>
        </row>
      </sheetData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siness Plan"/>
      <sheetName val="Business Plan Ingles"/>
      <sheetName val="Profit&amp;Loss"/>
      <sheetName val="AMWork"/>
      <sheetName val="Dividendos"/>
      <sheetName val="EOT y ventas"/>
      <sheetName val="Otros ingresos"/>
    </sheetNames>
    <sheetDataSet>
      <sheetData sheetId="0"/>
      <sheetData sheetId="1"/>
      <sheetData sheetId="2">
        <row r="33">
          <cell r="T33">
            <v>619197252.79999995</v>
          </cell>
        </row>
        <row r="37">
          <cell r="T37">
            <v>12698413</v>
          </cell>
        </row>
        <row r="38">
          <cell r="T38">
            <v>18792195.707699999</v>
          </cell>
        </row>
        <row r="39">
          <cell r="T39">
            <v>13037176.1808</v>
          </cell>
        </row>
        <row r="40">
          <cell r="T40">
            <v>17503267.462322142</v>
          </cell>
        </row>
        <row r="41">
          <cell r="T41">
            <v>18575917.584000003</v>
          </cell>
        </row>
        <row r="42">
          <cell r="T42">
            <v>12383945.056</v>
          </cell>
        </row>
        <row r="43">
          <cell r="T43">
            <v>108037364.33617541</v>
          </cell>
        </row>
        <row r="44">
          <cell r="T44">
            <v>10512447.60555155</v>
          </cell>
        </row>
      </sheetData>
      <sheetData sheetId="3">
        <row r="25">
          <cell r="V25">
            <v>619197252.79999995</v>
          </cell>
        </row>
      </sheetData>
      <sheetData sheetId="4">
        <row r="12">
          <cell r="G12">
            <v>86949178.65549016</v>
          </cell>
        </row>
      </sheetData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mboo"/>
    </sheetNames>
    <sheetDataSet>
      <sheetData sheetId="0">
        <row r="24">
          <cell r="B24">
            <v>32060005</v>
          </cell>
        </row>
        <row r="27">
          <cell r="B27">
            <v>32984221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lles ventas"/>
      <sheetName val="AREAS POR FASE"/>
      <sheetName val="SUMMARY"/>
      <sheetName val="Sheet1"/>
    </sheetNames>
    <sheetDataSet>
      <sheetData sheetId="0"/>
      <sheetData sheetId="1">
        <row r="19">
          <cell r="S19" t="str">
            <v>R3</v>
          </cell>
          <cell r="U19">
            <v>0.93919430953119076</v>
          </cell>
          <cell r="V19">
            <v>154</v>
          </cell>
          <cell r="X19">
            <v>280</v>
          </cell>
        </row>
        <row r="20">
          <cell r="S20" t="str">
            <v>RM</v>
          </cell>
          <cell r="U20">
            <v>0.99997773374006371</v>
          </cell>
          <cell r="V20">
            <v>248</v>
          </cell>
          <cell r="X20">
            <v>320</v>
          </cell>
        </row>
        <row r="21">
          <cell r="S21" t="str">
            <v>RM3</v>
          </cell>
          <cell r="U21">
            <v>0.17670560437396685</v>
          </cell>
          <cell r="V21">
            <v>331.93</v>
          </cell>
          <cell r="X21">
            <v>420</v>
          </cell>
        </row>
        <row r="22">
          <cell r="S22" t="str">
            <v>RM3-C2</v>
          </cell>
          <cell r="U22">
            <v>4.4251023990637801E-2</v>
          </cell>
          <cell r="V22">
            <v>322</v>
          </cell>
          <cell r="X22">
            <v>322</v>
          </cell>
        </row>
        <row r="23">
          <cell r="S23" t="str">
            <v>C2</v>
          </cell>
          <cell r="U23">
            <v>0.20227901018137684</v>
          </cell>
          <cell r="V23">
            <v>500</v>
          </cell>
          <cell r="X23">
            <v>500</v>
          </cell>
        </row>
        <row r="24">
          <cell r="S24" t="str">
            <v>C2 REC</v>
          </cell>
          <cell r="U24">
            <v>0.12211367673179396</v>
          </cell>
          <cell r="V24">
            <v>90</v>
          </cell>
          <cell r="X24">
            <v>90</v>
          </cell>
        </row>
        <row r="25">
          <cell r="S25" t="str">
            <v>C1</v>
          </cell>
          <cell r="U25">
            <v>0.62381104082282801</v>
          </cell>
          <cell r="V25">
            <v>336</v>
          </cell>
          <cell r="X25">
            <v>442</v>
          </cell>
        </row>
        <row r="26">
          <cell r="S26" t="str">
            <v>SIU 2</v>
          </cell>
          <cell r="U26">
            <v>0.93467584188232644</v>
          </cell>
          <cell r="V26">
            <v>136</v>
          </cell>
          <cell r="X26">
            <v>180</v>
          </cell>
        </row>
        <row r="27">
          <cell r="U27">
            <v>0.39148227557844445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7F752-14C3-4D8D-96AF-F81C1219AB1E}">
  <dimension ref="A1:B9"/>
  <sheetViews>
    <sheetView tabSelected="1" workbookViewId="0">
      <selection activeCell="A9" sqref="A9:B9"/>
    </sheetView>
  </sheetViews>
  <sheetFormatPr defaultRowHeight="14.4" x14ac:dyDescent="0.3"/>
  <cols>
    <col min="1" max="1" width="24.44140625" style="1" customWidth="1"/>
    <col min="2" max="2" width="28.77734375" style="1" customWidth="1"/>
    <col min="3" max="16384" width="8.88671875" style="1"/>
  </cols>
  <sheetData>
    <row r="1" spans="1:2" ht="15.6" x14ac:dyDescent="0.3">
      <c r="A1" s="142" t="s">
        <v>70</v>
      </c>
      <c r="B1" s="142"/>
    </row>
    <row r="2" spans="1:2" ht="15.6" x14ac:dyDescent="0.3">
      <c r="A2" s="59" t="s">
        <v>71</v>
      </c>
      <c r="B2" s="60">
        <v>30000000</v>
      </c>
    </row>
    <row r="3" spans="1:2" ht="15.6" x14ac:dyDescent="0.3">
      <c r="A3" s="59" t="s">
        <v>78</v>
      </c>
      <c r="B3" s="60"/>
    </row>
    <row r="4" spans="1:2" ht="15.6" x14ac:dyDescent="0.3">
      <c r="A4" s="59" t="s">
        <v>72</v>
      </c>
      <c r="B4" s="60">
        <v>22000000</v>
      </c>
    </row>
    <row r="5" spans="1:2" ht="15.6" x14ac:dyDescent="0.3">
      <c r="A5" s="59" t="s">
        <v>73</v>
      </c>
      <c r="B5" s="60">
        <v>2000000</v>
      </c>
    </row>
    <row r="6" spans="1:2" ht="15.6" x14ac:dyDescent="0.3">
      <c r="A6" s="59" t="s">
        <v>74</v>
      </c>
      <c r="B6" s="60">
        <f>+B2*0.05</f>
        <v>1500000</v>
      </c>
    </row>
    <row r="7" spans="1:2" ht="15.6" x14ac:dyDescent="0.3">
      <c r="A7" s="59" t="s">
        <v>75</v>
      </c>
      <c r="B7" s="60">
        <f>+B2*0.025</f>
        <v>750000</v>
      </c>
    </row>
    <row r="8" spans="1:2" ht="15.6" x14ac:dyDescent="0.3">
      <c r="A8" s="61" t="s">
        <v>76</v>
      </c>
      <c r="B8" s="62">
        <f>+B2-B4-B5-B6-B7</f>
        <v>3750000</v>
      </c>
    </row>
    <row r="9" spans="1:2" ht="15.6" x14ac:dyDescent="0.3">
      <c r="A9" s="58" t="s">
        <v>77</v>
      </c>
      <c r="B9" s="63">
        <f>SUM(B4:B8)</f>
        <v>30000000</v>
      </c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74DE8D-D338-4D66-BBCB-7D067E1BF3F5}">
  <dimension ref="A1:M46"/>
  <sheetViews>
    <sheetView topLeftCell="A31" workbookViewId="0">
      <selection activeCell="L38" sqref="L38:L42"/>
    </sheetView>
  </sheetViews>
  <sheetFormatPr defaultRowHeight="14.4" x14ac:dyDescent="0.3"/>
  <cols>
    <col min="1" max="1" width="27.5546875" style="1" customWidth="1"/>
    <col min="2" max="2" width="20.21875" style="1" customWidth="1"/>
    <col min="3" max="3" width="17.5546875" style="1" customWidth="1"/>
    <col min="4" max="4" width="22.109375" style="1" customWidth="1"/>
    <col min="5" max="5" width="16.6640625" style="1" customWidth="1"/>
    <col min="6" max="6" width="15.6640625" style="1" customWidth="1"/>
    <col min="7" max="7" width="15" style="1" customWidth="1"/>
    <col min="8" max="8" width="16.33203125" style="1" customWidth="1"/>
    <col min="9" max="10" width="14.77734375" style="1" customWidth="1"/>
    <col min="11" max="11" width="14.5546875" style="1" customWidth="1"/>
    <col min="12" max="12" width="16.5546875" style="1" customWidth="1"/>
    <col min="13" max="13" width="17.6640625" style="1" bestFit="1" customWidth="1"/>
    <col min="14" max="16384" width="8.88671875" style="1"/>
  </cols>
  <sheetData>
    <row r="1" spans="1:8" ht="18" x14ac:dyDescent="0.35">
      <c r="A1" s="143" t="s">
        <v>0</v>
      </c>
      <c r="B1" s="143"/>
      <c r="C1" s="143"/>
      <c r="D1" s="143"/>
      <c r="E1" s="143"/>
      <c r="F1" s="143"/>
      <c r="G1" s="143"/>
      <c r="H1" s="143"/>
    </row>
    <row r="3" spans="1:8" x14ac:dyDescent="0.3">
      <c r="A3" s="2" t="s">
        <v>1</v>
      </c>
      <c r="B3" s="3">
        <v>30000000</v>
      </c>
      <c r="C3" s="4"/>
    </row>
    <row r="4" spans="1:8" x14ac:dyDescent="0.3">
      <c r="A4" s="2" t="s">
        <v>2</v>
      </c>
      <c r="B4" s="5">
        <v>10000000</v>
      </c>
      <c r="C4" s="4"/>
    </row>
    <row r="5" spans="1:8" x14ac:dyDescent="0.3">
      <c r="A5" s="2" t="s">
        <v>3</v>
      </c>
      <c r="B5" s="5">
        <v>20000000</v>
      </c>
      <c r="C5" s="4"/>
    </row>
    <row r="6" spans="1:8" x14ac:dyDescent="0.3">
      <c r="A6" s="2" t="s">
        <v>4</v>
      </c>
      <c r="B6" s="6">
        <v>7</v>
      </c>
      <c r="C6" s="4" t="s">
        <v>5</v>
      </c>
    </row>
    <row r="7" spans="1:8" x14ac:dyDescent="0.3">
      <c r="A7" s="2" t="s">
        <v>6</v>
      </c>
      <c r="B7" s="6" t="s">
        <v>7</v>
      </c>
      <c r="C7" s="4"/>
    </row>
    <row r="8" spans="1:8" x14ac:dyDescent="0.3">
      <c r="A8" s="2" t="s">
        <v>8</v>
      </c>
      <c r="B8" s="7">
        <v>0.1</v>
      </c>
      <c r="C8" s="4"/>
    </row>
    <row r="9" spans="1:8" x14ac:dyDescent="0.3">
      <c r="A9" s="2" t="s">
        <v>9</v>
      </c>
      <c r="B9" s="7">
        <v>0.33</v>
      </c>
      <c r="C9" s="4" t="s">
        <v>10</v>
      </c>
    </row>
    <row r="10" spans="1:8" x14ac:dyDescent="0.3">
      <c r="A10" s="2" t="s">
        <v>11</v>
      </c>
      <c r="B10" s="8">
        <v>2.5000000000000001E-2</v>
      </c>
      <c r="C10" s="4" t="s">
        <v>12</v>
      </c>
    </row>
    <row r="11" spans="1:8" x14ac:dyDescent="0.3">
      <c r="A11" s="144" t="s">
        <v>13</v>
      </c>
      <c r="B11" s="144"/>
      <c r="C11" s="144"/>
      <c r="D11" s="144"/>
      <c r="E11" s="144"/>
      <c r="F11" s="144"/>
      <c r="G11" s="144"/>
      <c r="H11" s="144"/>
    </row>
    <row r="12" spans="1:8" ht="15" thickBot="1" x14ac:dyDescent="0.35">
      <c r="A12" s="9" t="s">
        <v>14</v>
      </c>
      <c r="B12" s="9" t="s">
        <v>15</v>
      </c>
      <c r="C12" s="9" t="s">
        <v>16</v>
      </c>
      <c r="D12" s="9" t="s">
        <v>17</v>
      </c>
      <c r="E12" s="9" t="s">
        <v>16</v>
      </c>
      <c r="F12" s="9" t="s">
        <v>18</v>
      </c>
      <c r="G12" s="9" t="s">
        <v>19</v>
      </c>
      <c r="H12" s="9" t="s">
        <v>20</v>
      </c>
    </row>
    <row r="13" spans="1:8" ht="15" thickTop="1" x14ac:dyDescent="0.3">
      <c r="A13" s="10">
        <v>1</v>
      </c>
      <c r="B13" s="11">
        <v>10000000</v>
      </c>
      <c r="C13" s="12">
        <f>+B13*$B$8</f>
        <v>1000000</v>
      </c>
      <c r="D13" s="11">
        <v>0</v>
      </c>
      <c r="E13" s="13">
        <v>0</v>
      </c>
      <c r="F13" s="11">
        <f>+B13+C13-D13-E13</f>
        <v>11000000</v>
      </c>
      <c r="G13" s="14">
        <f>+C13/B13</f>
        <v>0.1</v>
      </c>
      <c r="H13" s="15"/>
    </row>
    <row r="14" spans="1:8" x14ac:dyDescent="0.3">
      <c r="A14" s="10">
        <v>2</v>
      </c>
      <c r="B14" s="11">
        <f>+F13</f>
        <v>11000000</v>
      </c>
      <c r="C14" s="12">
        <f t="shared" ref="C14:C19" si="0">+B14*$B$8</f>
        <v>1100000</v>
      </c>
      <c r="D14" s="12">
        <v>0</v>
      </c>
      <c r="E14" s="13">
        <v>0</v>
      </c>
      <c r="F14" s="11">
        <f>+B14+C14-D14-E14</f>
        <v>12100000</v>
      </c>
      <c r="G14" s="14">
        <f>+C14/B14</f>
        <v>0.1</v>
      </c>
      <c r="H14" s="16"/>
    </row>
    <row r="15" spans="1:8" x14ac:dyDescent="0.3">
      <c r="A15" s="10">
        <v>3</v>
      </c>
      <c r="B15" s="11">
        <f>+F14</f>
        <v>12100000</v>
      </c>
      <c r="C15" s="12">
        <f t="shared" si="0"/>
        <v>1210000</v>
      </c>
      <c r="D15" s="12">
        <f>+B15/5</f>
        <v>2420000</v>
      </c>
      <c r="E15" s="12">
        <f>+C13+C14+C15</f>
        <v>3310000</v>
      </c>
      <c r="F15" s="11">
        <f>+B15+C15-D15-E15</f>
        <v>7580000</v>
      </c>
      <c r="G15" s="14">
        <f>+C15/B15</f>
        <v>0.1</v>
      </c>
      <c r="H15" s="11">
        <f>+D15+E15</f>
        <v>5730000</v>
      </c>
    </row>
    <row r="16" spans="1:8" x14ac:dyDescent="0.3">
      <c r="A16" s="10">
        <v>4</v>
      </c>
      <c r="B16" s="11">
        <f>+F15</f>
        <v>7580000</v>
      </c>
      <c r="C16" s="12">
        <f t="shared" si="0"/>
        <v>758000</v>
      </c>
      <c r="D16" s="12">
        <f>+D15</f>
        <v>2420000</v>
      </c>
      <c r="E16" s="12">
        <f>+C16</f>
        <v>758000</v>
      </c>
      <c r="F16" s="11">
        <f t="shared" ref="F16:F18" si="1">+B16+C16-D16-E16</f>
        <v>5160000</v>
      </c>
      <c r="G16" s="14">
        <f t="shared" ref="G16:G19" si="2">+C16/B16</f>
        <v>0.1</v>
      </c>
      <c r="H16" s="11">
        <f t="shared" ref="H16:H19" si="3">+D16+E16</f>
        <v>3178000</v>
      </c>
    </row>
    <row r="17" spans="1:8" x14ac:dyDescent="0.3">
      <c r="A17" s="10">
        <v>5</v>
      </c>
      <c r="B17" s="11">
        <f>+F16</f>
        <v>5160000</v>
      </c>
      <c r="C17" s="12">
        <f t="shared" si="0"/>
        <v>516000</v>
      </c>
      <c r="D17" s="12">
        <f t="shared" ref="D17:D19" si="4">+D16</f>
        <v>2420000</v>
      </c>
      <c r="E17" s="12">
        <v>516000</v>
      </c>
      <c r="F17" s="11">
        <f t="shared" si="1"/>
        <v>2740000</v>
      </c>
      <c r="G17" s="14">
        <f t="shared" si="2"/>
        <v>0.1</v>
      </c>
      <c r="H17" s="11">
        <f t="shared" si="3"/>
        <v>2936000</v>
      </c>
    </row>
    <row r="18" spans="1:8" x14ac:dyDescent="0.3">
      <c r="A18" s="10">
        <v>6</v>
      </c>
      <c r="B18" s="11">
        <f t="shared" ref="B18:B19" si="5">+F17</f>
        <v>2740000</v>
      </c>
      <c r="C18" s="12">
        <f t="shared" si="0"/>
        <v>274000</v>
      </c>
      <c r="D18" s="12">
        <f t="shared" si="4"/>
        <v>2420000</v>
      </c>
      <c r="E18" s="12">
        <v>274000</v>
      </c>
      <c r="F18" s="11">
        <f t="shared" si="1"/>
        <v>320000</v>
      </c>
      <c r="G18" s="14">
        <f t="shared" si="2"/>
        <v>0.1</v>
      </c>
      <c r="H18" s="11">
        <f t="shared" si="3"/>
        <v>2694000</v>
      </c>
    </row>
    <row r="19" spans="1:8" ht="15" thickBot="1" x14ac:dyDescent="0.35">
      <c r="A19" s="17">
        <v>7</v>
      </c>
      <c r="B19" s="18">
        <f t="shared" si="5"/>
        <v>320000</v>
      </c>
      <c r="C19" s="19">
        <f t="shared" si="0"/>
        <v>32000</v>
      </c>
      <c r="D19" s="19">
        <f t="shared" si="4"/>
        <v>2420000</v>
      </c>
      <c r="E19" s="19">
        <v>32000</v>
      </c>
      <c r="F19" s="18">
        <v>0</v>
      </c>
      <c r="G19" s="20">
        <f t="shared" si="2"/>
        <v>0.1</v>
      </c>
      <c r="H19" s="18">
        <f t="shared" si="3"/>
        <v>2452000</v>
      </c>
    </row>
    <row r="20" spans="1:8" ht="15" thickTop="1" x14ac:dyDescent="0.3">
      <c r="A20" s="21" t="s">
        <v>21</v>
      </c>
      <c r="B20" s="22"/>
      <c r="C20" s="3">
        <f>SUM(C13:C19)</f>
        <v>4890000</v>
      </c>
      <c r="D20" s="3">
        <f>SUM(D13:D19)</f>
        <v>12100000</v>
      </c>
      <c r="E20" s="3">
        <f>SUM(E13:E19)</f>
        <v>4890000</v>
      </c>
      <c r="F20" s="22"/>
      <c r="G20" s="23"/>
      <c r="H20" s="22">
        <f>SUM(H15:H19)</f>
        <v>16990000</v>
      </c>
    </row>
    <row r="21" spans="1:8" x14ac:dyDescent="0.3">
      <c r="E21" s="24"/>
      <c r="F21" s="12"/>
      <c r="G21" s="12"/>
      <c r="H21" s="25"/>
    </row>
    <row r="22" spans="1:8" x14ac:dyDescent="0.3">
      <c r="D22" s="11"/>
      <c r="E22" s="11"/>
      <c r="F22" s="26"/>
      <c r="G22" s="16"/>
    </row>
    <row r="23" spans="1:8" x14ac:dyDescent="0.3">
      <c r="A23" s="145" t="s">
        <v>22</v>
      </c>
      <c r="B23" s="145"/>
      <c r="E23" s="11"/>
    </row>
    <row r="24" spans="1:8" x14ac:dyDescent="0.3">
      <c r="A24" s="2" t="s">
        <v>23</v>
      </c>
      <c r="B24" s="3">
        <f>+'[1]ROI-IRR GV &amp; RE'!$G$67</f>
        <v>85605063.417490169</v>
      </c>
      <c r="D24" s="12"/>
    </row>
    <row r="25" spans="1:8" x14ac:dyDescent="0.3">
      <c r="A25" s="1" t="s">
        <v>15</v>
      </c>
      <c r="B25" s="12">
        <v>30000000</v>
      </c>
      <c r="D25" s="11"/>
    </row>
    <row r="26" spans="1:8" x14ac:dyDescent="0.3">
      <c r="A26" s="1" t="s">
        <v>24</v>
      </c>
      <c r="B26" s="11">
        <f>+E20</f>
        <v>4890000</v>
      </c>
      <c r="D26" s="11"/>
    </row>
    <row r="27" spans="1:8" x14ac:dyDescent="0.3">
      <c r="A27" s="1" t="s">
        <v>25</v>
      </c>
      <c r="B27" s="12">
        <f>+(B3*2.5%)*10</f>
        <v>7500000</v>
      </c>
    </row>
    <row r="28" spans="1:8" x14ac:dyDescent="0.3">
      <c r="A28" s="2" t="s">
        <v>26</v>
      </c>
      <c r="B28" s="3">
        <f>+B24-B25-B26-B27</f>
        <v>43215063.417490169</v>
      </c>
    </row>
    <row r="29" spans="1:8" x14ac:dyDescent="0.3">
      <c r="A29" s="2" t="s">
        <v>27</v>
      </c>
      <c r="B29" s="3">
        <f>+B28*0.33</f>
        <v>14260970.927771756</v>
      </c>
      <c r="D29" s="11"/>
    </row>
    <row r="30" spans="1:8" x14ac:dyDescent="0.3">
      <c r="A30" s="2" t="s">
        <v>28</v>
      </c>
      <c r="B30" s="3">
        <f>+B28-B29</f>
        <v>28954092.489718415</v>
      </c>
      <c r="D30" s="11"/>
    </row>
    <row r="31" spans="1:8" x14ac:dyDescent="0.3">
      <c r="D31" s="11"/>
      <c r="E31" s="25"/>
    </row>
    <row r="32" spans="1:8" x14ac:dyDescent="0.3">
      <c r="A32" s="2" t="s">
        <v>29</v>
      </c>
      <c r="B32" s="3">
        <f>+B28</f>
        <v>43215063.417490169</v>
      </c>
    </row>
    <row r="33" spans="1:13" x14ac:dyDescent="0.3">
      <c r="A33" s="2" t="s">
        <v>30</v>
      </c>
      <c r="B33" s="22">
        <f>+B29</f>
        <v>14260970.927771756</v>
      </c>
      <c r="C33" s="16"/>
      <c r="D33" s="27"/>
      <c r="E33" s="11"/>
    </row>
    <row r="34" spans="1:13" x14ac:dyDescent="0.3">
      <c r="A34" s="2" t="s">
        <v>31</v>
      </c>
      <c r="B34" s="22">
        <f>+B30</f>
        <v>28954092.489718415</v>
      </c>
      <c r="C34" s="16"/>
      <c r="E34" s="11"/>
    </row>
    <row r="35" spans="1:13" x14ac:dyDescent="0.3">
      <c r="B35" s="11"/>
      <c r="E35" s="11"/>
      <c r="F35" s="25"/>
      <c r="G35" s="11"/>
    </row>
    <row r="36" spans="1:13" x14ac:dyDescent="0.3">
      <c r="B36" s="11"/>
    </row>
    <row r="38" spans="1:13" ht="15.6" x14ac:dyDescent="0.3">
      <c r="A38" s="45" t="s">
        <v>32</v>
      </c>
      <c r="B38" s="45">
        <v>2019</v>
      </c>
      <c r="C38" s="45">
        <v>2020</v>
      </c>
      <c r="D38" s="45">
        <v>2021</v>
      </c>
      <c r="E38" s="45">
        <v>2022</v>
      </c>
      <c r="F38" s="45">
        <v>2023</v>
      </c>
      <c r="G38" s="45">
        <v>2024</v>
      </c>
      <c r="H38" s="45">
        <v>2025</v>
      </c>
      <c r="I38" s="45">
        <v>2026</v>
      </c>
      <c r="J38" s="45">
        <v>2027</v>
      </c>
      <c r="K38" s="45">
        <v>2028</v>
      </c>
      <c r="L38" s="45" t="s">
        <v>33</v>
      </c>
    </row>
    <row r="39" spans="1:13" ht="15.6" x14ac:dyDescent="0.3">
      <c r="A39" s="46"/>
      <c r="B39" s="45">
        <v>0</v>
      </c>
      <c r="C39" s="45">
        <v>1</v>
      </c>
      <c r="D39" s="45">
        <v>2</v>
      </c>
      <c r="E39" s="45">
        <v>3</v>
      </c>
      <c r="F39" s="45">
        <v>4</v>
      </c>
      <c r="G39" s="45">
        <v>5</v>
      </c>
      <c r="H39" s="45">
        <v>6</v>
      </c>
      <c r="I39" s="45">
        <v>7</v>
      </c>
      <c r="J39" s="45">
        <v>8</v>
      </c>
      <c r="K39" s="45">
        <v>9</v>
      </c>
      <c r="L39" s="45" t="s">
        <v>34</v>
      </c>
    </row>
    <row r="40" spans="1:13" ht="15.6" x14ac:dyDescent="0.3">
      <c r="A40" s="28" t="s">
        <v>35</v>
      </c>
      <c r="B40" s="29">
        <v>-10000000</v>
      </c>
      <c r="C40" s="29">
        <v>0</v>
      </c>
      <c r="D40" s="29">
        <v>0</v>
      </c>
      <c r="E40" s="29">
        <f>+D15+E15</f>
        <v>5730000</v>
      </c>
      <c r="F40" s="29">
        <f>+D16+E16</f>
        <v>3178000</v>
      </c>
      <c r="G40" s="29">
        <f>+D17+E17</f>
        <v>2936000</v>
      </c>
      <c r="H40" s="29">
        <f>+D18+E18</f>
        <v>2694000</v>
      </c>
      <c r="I40" s="29">
        <f>+D19+E19</f>
        <v>2452000</v>
      </c>
      <c r="J40" s="29">
        <f>+B29/2</f>
        <v>7130485.4638858782</v>
      </c>
      <c r="K40" s="29">
        <f>+B29/2</f>
        <v>7130485.4638858782</v>
      </c>
      <c r="L40" s="47">
        <f>+SUM(B40:K40)</f>
        <v>21250970.927771755</v>
      </c>
      <c r="M40" s="30"/>
    </row>
    <row r="41" spans="1:13" ht="15.6" x14ac:dyDescent="0.3">
      <c r="A41" s="28" t="s">
        <v>36</v>
      </c>
      <c r="B41" s="31">
        <f t="shared" ref="B41:K41" si="6">+(1+$C$26)^B39</f>
        <v>1</v>
      </c>
      <c r="C41" s="31">
        <f t="shared" si="6"/>
        <v>1</v>
      </c>
      <c r="D41" s="31">
        <f t="shared" si="6"/>
        <v>1</v>
      </c>
      <c r="E41" s="31">
        <f t="shared" si="6"/>
        <v>1</v>
      </c>
      <c r="F41" s="31">
        <f t="shared" si="6"/>
        <v>1</v>
      </c>
      <c r="G41" s="31">
        <f t="shared" si="6"/>
        <v>1</v>
      </c>
      <c r="H41" s="31">
        <f t="shared" si="6"/>
        <v>1</v>
      </c>
      <c r="I41" s="31">
        <f t="shared" si="6"/>
        <v>1</v>
      </c>
      <c r="J41" s="31">
        <f t="shared" si="6"/>
        <v>1</v>
      </c>
      <c r="K41" s="31">
        <f t="shared" si="6"/>
        <v>1</v>
      </c>
      <c r="L41" s="47"/>
    </row>
    <row r="42" spans="1:13" ht="15.6" x14ac:dyDescent="0.3">
      <c r="A42" s="28" t="s">
        <v>37</v>
      </c>
      <c r="B42" s="32">
        <f>+B40/B41</f>
        <v>-10000000</v>
      </c>
      <c r="C42" s="32">
        <f t="shared" ref="C42:K42" si="7">+C40/C41</f>
        <v>0</v>
      </c>
      <c r="D42" s="32">
        <f t="shared" si="7"/>
        <v>0</v>
      </c>
      <c r="E42" s="32">
        <f t="shared" si="7"/>
        <v>5730000</v>
      </c>
      <c r="F42" s="32">
        <f t="shared" si="7"/>
        <v>3178000</v>
      </c>
      <c r="G42" s="32">
        <f t="shared" si="7"/>
        <v>2936000</v>
      </c>
      <c r="H42" s="32">
        <f t="shared" si="7"/>
        <v>2694000</v>
      </c>
      <c r="I42" s="32">
        <f t="shared" si="7"/>
        <v>2452000</v>
      </c>
      <c r="J42" s="32">
        <f t="shared" si="7"/>
        <v>7130485.4638858782</v>
      </c>
      <c r="K42" s="32">
        <f t="shared" si="7"/>
        <v>7130485.4638858782</v>
      </c>
      <c r="L42" s="47">
        <f>+SUM(B42:K42)</f>
        <v>21250970.927771755</v>
      </c>
    </row>
    <row r="43" spans="1:13" x14ac:dyDescent="0.3">
      <c r="L43" s="11"/>
    </row>
    <row r="44" spans="1:13" ht="15.6" x14ac:dyDescent="0.3">
      <c r="B44" s="37" t="s">
        <v>38</v>
      </c>
      <c r="C44" s="38">
        <f>IRR(B40:K40)</f>
        <v>0.21417912206890777</v>
      </c>
      <c r="D44" s="40"/>
      <c r="E44" s="41"/>
      <c r="F44" s="42"/>
      <c r="G44" s="42"/>
      <c r="I44" s="33"/>
      <c r="L44" s="11"/>
    </row>
    <row r="45" spans="1:13" ht="15.6" x14ac:dyDescent="0.3">
      <c r="B45" s="37" t="s">
        <v>39</v>
      </c>
      <c r="C45" s="39">
        <f>+L40</f>
        <v>21250970.927771755</v>
      </c>
      <c r="E45" s="11"/>
      <c r="F45" s="11"/>
      <c r="G45" s="26"/>
    </row>
    <row r="46" spans="1:13" x14ac:dyDescent="0.3">
      <c r="B46" s="43" t="s">
        <v>40</v>
      </c>
      <c r="C46" s="44">
        <v>0.21249999999999999</v>
      </c>
    </row>
  </sheetData>
  <mergeCells count="3">
    <mergeCell ref="A1:H1"/>
    <mergeCell ref="A11:H11"/>
    <mergeCell ref="A23:B2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45F241-B8ED-4DDB-A8F5-715860FE79B6}">
  <dimension ref="A1:C14"/>
  <sheetViews>
    <sheetView workbookViewId="0">
      <selection activeCell="B28" sqref="B28"/>
    </sheetView>
  </sheetViews>
  <sheetFormatPr defaultRowHeight="14.4" x14ac:dyDescent="0.3"/>
  <cols>
    <col min="1" max="1" width="27.6640625" customWidth="1"/>
    <col min="2" max="3" width="27.88671875" customWidth="1"/>
  </cols>
  <sheetData>
    <row r="1" spans="1:3" ht="25.8" x14ac:dyDescent="0.5">
      <c r="A1" s="146" t="s">
        <v>91</v>
      </c>
      <c r="B1" s="146"/>
      <c r="C1" s="146"/>
    </row>
    <row r="2" spans="1:3" ht="15.6" x14ac:dyDescent="0.3">
      <c r="A2" s="37" t="s">
        <v>56</v>
      </c>
      <c r="B2" s="63">
        <f>+'[1]Greenvalley Only'!K12</f>
        <v>619197252.79999995</v>
      </c>
      <c r="C2" s="81"/>
    </row>
    <row r="3" spans="1:3" ht="15.6" x14ac:dyDescent="0.3">
      <c r="A3" s="37" t="s">
        <v>92</v>
      </c>
      <c r="B3" s="37" t="s">
        <v>58</v>
      </c>
      <c r="C3" s="37" t="s">
        <v>59</v>
      </c>
    </row>
    <row r="4" spans="1:3" x14ac:dyDescent="0.3">
      <c r="A4" s="1" t="s">
        <v>60</v>
      </c>
      <c r="B4" s="11">
        <f>+'[2]Profit&amp;Loss'!$T$37</f>
        <v>12698413</v>
      </c>
      <c r="C4" s="14">
        <f>+B4/$B$2</f>
        <v>2.0507863919902718E-2</v>
      </c>
    </row>
    <row r="5" spans="1:3" x14ac:dyDescent="0.3">
      <c r="A5" s="1" t="s">
        <v>61</v>
      </c>
      <c r="B5" s="11">
        <f>+'[2]Profit&amp;Loss'!$T$43</f>
        <v>108037364.33617541</v>
      </c>
      <c r="C5" s="14">
        <f t="shared" ref="C5:C11" si="0">+B5/$B$2</f>
        <v>0.17447972168421647</v>
      </c>
    </row>
    <row r="6" spans="1:3" x14ac:dyDescent="0.3">
      <c r="A6" s="1" t="s">
        <v>93</v>
      </c>
      <c r="B6" s="11">
        <f>+'[2]Profit&amp;Loss'!$T$40</f>
        <v>17503267.462322142</v>
      </c>
      <c r="C6" s="14">
        <f t="shared" si="0"/>
        <v>2.826767622623106E-2</v>
      </c>
    </row>
    <row r="7" spans="1:3" x14ac:dyDescent="0.3">
      <c r="A7" s="1" t="s">
        <v>94</v>
      </c>
      <c r="B7" s="11">
        <f>+'[2]Profit&amp;Loss'!$T$39</f>
        <v>13037176.1808</v>
      </c>
      <c r="C7" s="14">
        <f t="shared" si="0"/>
        <v>2.1054964507426513E-2</v>
      </c>
    </row>
    <row r="8" spans="1:3" x14ac:dyDescent="0.3">
      <c r="A8" s="1" t="s">
        <v>95</v>
      </c>
      <c r="B8" s="11">
        <f>+'[2]Profit&amp;Loss'!$T$38</f>
        <v>18792195.707699999</v>
      </c>
      <c r="C8" s="14">
        <f t="shared" si="0"/>
        <v>3.0349287925167619E-2</v>
      </c>
    </row>
    <row r="9" spans="1:3" x14ac:dyDescent="0.3">
      <c r="A9" s="1" t="s">
        <v>65</v>
      </c>
      <c r="B9" s="11">
        <f>+'[2]Profit&amp;Loss'!$T$41</f>
        <v>18575917.584000003</v>
      </c>
      <c r="C9" s="14">
        <f t="shared" si="0"/>
        <v>3.0000000000000006E-2</v>
      </c>
    </row>
    <row r="10" spans="1:3" x14ac:dyDescent="0.3">
      <c r="A10" s="1" t="s">
        <v>96</v>
      </c>
      <c r="B10" s="11">
        <f>+'[2]Profit&amp;Loss'!$T$42</f>
        <v>12383945.056</v>
      </c>
      <c r="C10" s="14">
        <f t="shared" si="0"/>
        <v>0.02</v>
      </c>
    </row>
    <row r="11" spans="1:3" x14ac:dyDescent="0.3">
      <c r="A11" s="1" t="s">
        <v>66</v>
      </c>
      <c r="B11" s="11">
        <f>+'[2]Profit&amp;Loss'!$T$44</f>
        <v>10512447.60555155</v>
      </c>
      <c r="C11" s="14">
        <f t="shared" si="0"/>
        <v>1.6977542387364337E-2</v>
      </c>
    </row>
    <row r="12" spans="1:3" ht="15.6" x14ac:dyDescent="0.3">
      <c r="A12" s="78" t="s">
        <v>67</v>
      </c>
      <c r="B12" s="82">
        <f>SUM(B4:B11)</f>
        <v>211540726.93254906</v>
      </c>
      <c r="C12" s="38">
        <f>+B12/$B$2</f>
        <v>0.34163705665030863</v>
      </c>
    </row>
    <row r="13" spans="1:3" ht="15.6" x14ac:dyDescent="0.3">
      <c r="A13" s="78" t="s">
        <v>68</v>
      </c>
      <c r="B13" s="82">
        <f>+B2-B12</f>
        <v>407656525.86745089</v>
      </c>
      <c r="C13" s="38">
        <f>+B13/B2</f>
        <v>0.65836294334969137</v>
      </c>
    </row>
    <row r="14" spans="1:3" ht="15.6" x14ac:dyDescent="0.3">
      <c r="A14" s="78" t="s">
        <v>97</v>
      </c>
      <c r="B14" s="82">
        <f>+B13*0.2</f>
        <v>81531305.173490182</v>
      </c>
      <c r="C14" s="38">
        <f>+B14/B13</f>
        <v>0.2</v>
      </c>
    </row>
  </sheetData>
  <mergeCells count="1">
    <mergeCell ref="A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E38990-45F0-40BC-A02C-C9B8FAF880B6}">
  <dimension ref="A1:I22"/>
  <sheetViews>
    <sheetView workbookViewId="0">
      <selection activeCell="H27" sqref="H27"/>
    </sheetView>
  </sheetViews>
  <sheetFormatPr defaultRowHeight="14.4" x14ac:dyDescent="0.3"/>
  <cols>
    <col min="7" max="7" width="19.109375" customWidth="1"/>
    <col min="8" max="8" width="20.21875" customWidth="1"/>
    <col min="9" max="9" width="19.21875" customWidth="1"/>
  </cols>
  <sheetData>
    <row r="1" spans="1:9" ht="25.8" x14ac:dyDescent="0.5">
      <c r="A1" s="48" t="s">
        <v>41</v>
      </c>
      <c r="B1" s="4"/>
      <c r="C1" s="1"/>
      <c r="D1" s="1"/>
      <c r="E1" s="1"/>
      <c r="F1" s="1"/>
      <c r="G1" s="1"/>
      <c r="H1" s="1"/>
      <c r="I1" s="1"/>
    </row>
    <row r="2" spans="1:9" x14ac:dyDescent="0.3">
      <c r="A2" s="1"/>
      <c r="B2" s="1"/>
      <c r="C2" s="1"/>
      <c r="D2" s="1"/>
      <c r="E2" s="1"/>
      <c r="F2" s="1"/>
      <c r="G2" s="1"/>
      <c r="H2" s="1"/>
      <c r="I2" s="1"/>
    </row>
    <row r="3" spans="1:9" x14ac:dyDescent="0.3">
      <c r="A3" s="6" t="s">
        <v>42</v>
      </c>
      <c r="B3" s="6" t="s">
        <v>43</v>
      </c>
      <c r="C3" s="6" t="s">
        <v>44</v>
      </c>
      <c r="D3" s="6" t="s">
        <v>45</v>
      </c>
      <c r="E3" s="6" t="s">
        <v>46</v>
      </c>
      <c r="F3" s="6" t="s">
        <v>47</v>
      </c>
      <c r="G3" s="6" t="s">
        <v>48</v>
      </c>
      <c r="H3" s="6" t="s">
        <v>49</v>
      </c>
      <c r="I3" s="6" t="s">
        <v>50</v>
      </c>
    </row>
    <row r="4" spans="1:9" x14ac:dyDescent="0.3">
      <c r="A4" s="49" t="s">
        <v>51</v>
      </c>
      <c r="B4" s="49">
        <v>70</v>
      </c>
      <c r="C4" s="49">
        <v>61</v>
      </c>
      <c r="D4" s="49">
        <v>8</v>
      </c>
      <c r="E4" s="49">
        <f t="shared" ref="E4:E9" si="0">+C4+D4</f>
        <v>69</v>
      </c>
      <c r="F4" s="49">
        <f>+B4*E4</f>
        <v>4830</v>
      </c>
      <c r="G4" s="11">
        <f>+'[1]Bamboo Only'!$M21</f>
        <v>168902.37527432333</v>
      </c>
      <c r="H4" s="12">
        <f>+G4*E4</f>
        <v>11654263.89392831</v>
      </c>
      <c r="I4" s="50" t="e">
        <f>+H4/$N$26</f>
        <v>#DIV/0!</v>
      </c>
    </row>
    <row r="5" spans="1:9" x14ac:dyDescent="0.3">
      <c r="A5" s="49" t="s">
        <v>52</v>
      </c>
      <c r="B5" s="49">
        <v>90</v>
      </c>
      <c r="C5" s="49">
        <v>11</v>
      </c>
      <c r="D5" s="49">
        <v>5</v>
      </c>
      <c r="E5" s="49">
        <f t="shared" si="0"/>
        <v>16</v>
      </c>
      <c r="F5" s="49">
        <f>+B5*E5</f>
        <v>1440</v>
      </c>
      <c r="G5" s="11">
        <f>+'[1]Bamboo Only'!$M22</f>
        <v>217160.19678127285</v>
      </c>
      <c r="H5" s="12">
        <f>+G5*E5</f>
        <v>3474563.1485003657</v>
      </c>
      <c r="I5" s="50" t="e">
        <f>+H5/$N$26</f>
        <v>#DIV/0!</v>
      </c>
    </row>
    <row r="6" spans="1:9" x14ac:dyDescent="0.3">
      <c r="A6" s="49" t="s">
        <v>53</v>
      </c>
      <c r="B6" s="49">
        <v>110</v>
      </c>
      <c r="C6" s="49">
        <v>10</v>
      </c>
      <c r="D6" s="49">
        <v>10</v>
      </c>
      <c r="E6" s="49">
        <f t="shared" si="0"/>
        <v>20</v>
      </c>
      <c r="F6" s="49">
        <f>+B6*E6</f>
        <v>2200</v>
      </c>
      <c r="G6" s="11">
        <f>+'[1]Bamboo Only'!$M23</f>
        <v>265418.01828822237</v>
      </c>
      <c r="H6" s="12">
        <f>+G6*E6</f>
        <v>5308360.3657644475</v>
      </c>
      <c r="I6" s="50" t="e">
        <f>+H6/$N$26</f>
        <v>#DIV/0!</v>
      </c>
    </row>
    <row r="7" spans="1:9" x14ac:dyDescent="0.3">
      <c r="A7" s="49" t="s">
        <v>54</v>
      </c>
      <c r="B7" s="49">
        <v>130</v>
      </c>
      <c r="C7" s="49">
        <v>1</v>
      </c>
      <c r="D7" s="49">
        <v>22</v>
      </c>
      <c r="E7" s="49">
        <f t="shared" si="0"/>
        <v>23</v>
      </c>
      <c r="F7" s="49">
        <f>+B7*E7</f>
        <v>2990</v>
      </c>
      <c r="G7" s="11">
        <f>+'[1]Bamboo Only'!$M24</f>
        <v>313675.83979517187</v>
      </c>
      <c r="H7" s="12">
        <f>+G7*E7</f>
        <v>7214544.3152889526</v>
      </c>
      <c r="I7" s="50" t="e">
        <f>+H7/$N$26</f>
        <v>#DIV/0!</v>
      </c>
    </row>
    <row r="8" spans="1:9" x14ac:dyDescent="0.3">
      <c r="A8" s="49" t="s">
        <v>55</v>
      </c>
      <c r="B8" s="49">
        <v>130</v>
      </c>
      <c r="C8" s="49">
        <v>12</v>
      </c>
      <c r="D8" s="49">
        <v>5</v>
      </c>
      <c r="E8" s="49">
        <f t="shared" si="0"/>
        <v>17</v>
      </c>
      <c r="F8" s="49">
        <f>+B8*E8</f>
        <v>2210</v>
      </c>
      <c r="G8" s="11">
        <f>+'[1]Bamboo Only'!$M25</f>
        <v>313675.83979517187</v>
      </c>
      <c r="H8" s="12">
        <f>+G8*E8</f>
        <v>5332489.2765179221</v>
      </c>
      <c r="I8" s="50" t="e">
        <f>+H8/$N$26</f>
        <v>#DIV/0!</v>
      </c>
    </row>
    <row r="9" spans="1:9" x14ac:dyDescent="0.3">
      <c r="A9" s="6" t="s">
        <v>21</v>
      </c>
      <c r="B9" s="6">
        <f>SUM(B4:B8)</f>
        <v>530</v>
      </c>
      <c r="C9" s="6">
        <f>SUM(C4:C8)</f>
        <v>95</v>
      </c>
      <c r="D9" s="6">
        <f>SUM(D4:D8)</f>
        <v>50</v>
      </c>
      <c r="E9" s="6">
        <f t="shared" si="0"/>
        <v>145</v>
      </c>
      <c r="F9" s="6">
        <f>SUM(F4:F8)</f>
        <v>13670</v>
      </c>
      <c r="G9" s="6" t="s">
        <v>56</v>
      </c>
      <c r="H9" s="51">
        <f>SUM(H4:H8)</f>
        <v>32984221</v>
      </c>
      <c r="I9" s="52" t="e">
        <f>SUM(I4:I8)</f>
        <v>#DIV/0!</v>
      </c>
    </row>
    <row r="10" spans="1:9" x14ac:dyDescent="0.3">
      <c r="A10" s="1"/>
      <c r="B10" s="1"/>
      <c r="C10" s="1"/>
      <c r="D10" s="1"/>
      <c r="E10" s="1"/>
      <c r="F10" s="1"/>
      <c r="G10" s="1"/>
      <c r="H10" s="1"/>
      <c r="I10" s="1"/>
    </row>
    <row r="11" spans="1:9" x14ac:dyDescent="0.3">
      <c r="A11" s="1"/>
      <c r="B11" s="1"/>
      <c r="C11" s="1"/>
      <c r="D11" s="1"/>
      <c r="E11" s="1"/>
      <c r="F11" s="1"/>
      <c r="G11" s="34" t="s">
        <v>57</v>
      </c>
      <c r="H11" s="6" t="s">
        <v>58</v>
      </c>
      <c r="I11" s="6" t="s">
        <v>59</v>
      </c>
    </row>
    <row r="12" spans="1:9" x14ac:dyDescent="0.3">
      <c r="A12" s="1"/>
      <c r="B12" s="1"/>
      <c r="C12" s="1"/>
      <c r="D12" s="1"/>
      <c r="E12" s="1"/>
      <c r="F12" s="1"/>
      <c r="G12" s="1" t="s">
        <v>60</v>
      </c>
      <c r="H12" s="11">
        <f>+'[1]Bamboo Only'!$N$29</f>
        <v>3225920</v>
      </c>
      <c r="I12" s="16" t="e">
        <f>+H12/$N$26</f>
        <v>#DIV/0!</v>
      </c>
    </row>
    <row r="13" spans="1:9" x14ac:dyDescent="0.3">
      <c r="A13" s="1"/>
      <c r="B13" s="1"/>
      <c r="C13" s="1"/>
      <c r="D13" s="1"/>
      <c r="E13" s="1"/>
      <c r="F13" s="1"/>
      <c r="G13" s="1" t="s">
        <v>61</v>
      </c>
      <c r="H13" s="12">
        <f>17981481+520903</f>
        <v>18502384</v>
      </c>
      <c r="I13" s="16" t="e">
        <f t="shared" ref="I13:I18" si="1">+H13/$N$26</f>
        <v>#DIV/0!</v>
      </c>
    </row>
    <row r="14" spans="1:9" x14ac:dyDescent="0.3">
      <c r="A14" s="1"/>
      <c r="B14" s="1"/>
      <c r="C14" s="1"/>
      <c r="D14" s="1"/>
      <c r="E14" s="1"/>
      <c r="F14" s="1"/>
      <c r="G14" s="1" t="s">
        <v>62</v>
      </c>
      <c r="H14" s="12">
        <f>+H13*2%</f>
        <v>370047.68</v>
      </c>
      <c r="I14" s="16" t="e">
        <f t="shared" si="1"/>
        <v>#DIV/0!</v>
      </c>
    </row>
    <row r="15" spans="1:9" x14ac:dyDescent="0.3">
      <c r="A15" s="1"/>
      <c r="B15" s="1"/>
      <c r="C15" s="1"/>
      <c r="D15" s="1"/>
      <c r="E15" s="1"/>
      <c r="F15" s="1"/>
      <c r="G15" s="1" t="s">
        <v>63</v>
      </c>
      <c r="H15" s="12">
        <f>+H13*0.8%</f>
        <v>148019.07200000001</v>
      </c>
      <c r="I15" s="16" t="e">
        <f t="shared" si="1"/>
        <v>#DIV/0!</v>
      </c>
    </row>
    <row r="16" spans="1:9" x14ac:dyDescent="0.3">
      <c r="A16" s="1"/>
      <c r="B16" s="1"/>
      <c r="C16" s="1"/>
      <c r="D16" s="1"/>
      <c r="E16" s="1"/>
      <c r="F16" s="1"/>
      <c r="G16" s="1" t="s">
        <v>64</v>
      </c>
      <c r="H16" s="12">
        <f>+H13*4%</f>
        <v>740095.36</v>
      </c>
      <c r="I16" s="16" t="e">
        <f t="shared" si="1"/>
        <v>#DIV/0!</v>
      </c>
    </row>
    <row r="17" spans="1:9" x14ac:dyDescent="0.3">
      <c r="A17" s="1"/>
      <c r="B17" s="1"/>
      <c r="C17" s="1"/>
      <c r="D17" s="1"/>
      <c r="E17" s="1"/>
      <c r="F17" s="1"/>
      <c r="G17" s="1" t="s">
        <v>65</v>
      </c>
      <c r="H17" s="12">
        <f>+H13*3%</f>
        <v>555071.52</v>
      </c>
      <c r="I17" s="16" t="e">
        <f t="shared" si="1"/>
        <v>#DIV/0!</v>
      </c>
    </row>
    <row r="18" spans="1:9" x14ac:dyDescent="0.3">
      <c r="A18" s="1"/>
      <c r="B18" s="1"/>
      <c r="C18" s="1"/>
      <c r="D18" s="1"/>
      <c r="E18" s="1"/>
      <c r="F18" s="1"/>
      <c r="G18" s="1" t="s">
        <v>66</v>
      </c>
      <c r="H18" s="12">
        <f>+H13*7%</f>
        <v>1295166.8800000001</v>
      </c>
      <c r="I18" s="16" t="e">
        <f t="shared" si="1"/>
        <v>#DIV/0!</v>
      </c>
    </row>
    <row r="19" spans="1:9" x14ac:dyDescent="0.3">
      <c r="A19" s="1"/>
      <c r="B19" s="1"/>
      <c r="C19" s="1"/>
      <c r="D19" s="1"/>
      <c r="E19" s="1"/>
      <c r="F19" s="1"/>
      <c r="G19" s="34" t="s">
        <v>67</v>
      </c>
      <c r="H19" s="53">
        <f>SUM(H12:H18)</f>
        <v>24836704.511999998</v>
      </c>
      <c r="I19" s="54">
        <f>+H19/H9</f>
        <v>0.75298745154539193</v>
      </c>
    </row>
    <row r="20" spans="1:9" x14ac:dyDescent="0.3">
      <c r="A20" s="1"/>
      <c r="B20" s="1"/>
      <c r="C20" s="1"/>
      <c r="D20" s="1"/>
      <c r="E20" s="1"/>
      <c r="F20" s="1"/>
      <c r="G20" s="1"/>
      <c r="H20" s="1"/>
      <c r="I20" s="1"/>
    </row>
    <row r="21" spans="1:9" x14ac:dyDescent="0.3">
      <c r="A21" s="12"/>
      <c r="B21" s="1"/>
      <c r="C21" s="1"/>
      <c r="D21" s="1"/>
      <c r="E21" s="1"/>
      <c r="F21" s="1"/>
      <c r="G21" s="4" t="s">
        <v>68</v>
      </c>
      <c r="H21" s="55">
        <f>+H9-H19</f>
        <v>8147516.4880000018</v>
      </c>
      <c r="I21" s="56">
        <f>+H21/H9</f>
        <v>0.2470125484546081</v>
      </c>
    </row>
    <row r="22" spans="1:9" x14ac:dyDescent="0.3">
      <c r="A22" s="1"/>
      <c r="B22" s="1"/>
      <c r="C22" s="1"/>
      <c r="D22" s="1"/>
      <c r="E22" s="1"/>
      <c r="F22" s="1"/>
      <c r="G22" s="4" t="s">
        <v>69</v>
      </c>
      <c r="H22" s="57">
        <f>+H21/2</f>
        <v>4073758.2440000009</v>
      </c>
      <c r="I22" s="56">
        <f>+H22/H9</f>
        <v>0.12350627422730405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EF563F-1876-483A-BE6C-021F06A1128B}">
  <dimension ref="A1:I6"/>
  <sheetViews>
    <sheetView workbookViewId="0">
      <selection activeCell="I4" sqref="I4"/>
    </sheetView>
  </sheetViews>
  <sheetFormatPr defaultRowHeight="14.4" x14ac:dyDescent="0.3"/>
  <cols>
    <col min="1" max="1" width="22" customWidth="1"/>
    <col min="2" max="2" width="28.33203125" customWidth="1"/>
    <col min="3" max="3" width="18.21875" customWidth="1"/>
    <col min="4" max="4" width="17.77734375" customWidth="1"/>
    <col min="5" max="5" width="20.77734375" customWidth="1"/>
    <col min="6" max="6" width="17.33203125" customWidth="1"/>
    <col min="7" max="7" width="15.6640625" customWidth="1"/>
    <col min="8" max="8" width="13.77734375" customWidth="1"/>
    <col min="9" max="9" width="13.6640625" customWidth="1"/>
  </cols>
  <sheetData>
    <row r="1" spans="1:9" ht="15.6" x14ac:dyDescent="0.3">
      <c r="A1" s="147" t="s">
        <v>79</v>
      </c>
      <c r="B1" s="147"/>
      <c r="C1" s="147"/>
      <c r="D1" s="147"/>
      <c r="E1" s="147"/>
      <c r="F1" s="147"/>
      <c r="G1" s="147"/>
      <c r="H1" s="147"/>
      <c r="I1" s="64"/>
    </row>
    <row r="2" spans="1:9" ht="16.2" thickBot="1" x14ac:dyDescent="0.35">
      <c r="A2" s="65" t="s">
        <v>15</v>
      </c>
      <c r="B2" s="65" t="s">
        <v>80</v>
      </c>
      <c r="C2" s="65" t="s">
        <v>81</v>
      </c>
      <c r="D2" s="65" t="s">
        <v>82</v>
      </c>
      <c r="E2" s="65" t="s">
        <v>83</v>
      </c>
      <c r="F2" s="65" t="s">
        <v>84</v>
      </c>
      <c r="G2" s="65" t="s">
        <v>85</v>
      </c>
      <c r="H2" s="65" t="s">
        <v>86</v>
      </c>
      <c r="I2" s="65" t="s">
        <v>38</v>
      </c>
    </row>
    <row r="3" spans="1:9" ht="16.2" thickTop="1" x14ac:dyDescent="0.3">
      <c r="A3" s="36" t="s">
        <v>87</v>
      </c>
      <c r="B3" s="66">
        <v>22000000</v>
      </c>
      <c r="C3" s="67">
        <f>+B3/D3</f>
        <v>0.2</v>
      </c>
      <c r="D3" s="66">
        <v>110000000</v>
      </c>
      <c r="E3" s="66">
        <f>+'[2]Profit&amp;Loss'!$T$33</f>
        <v>619197252.79999995</v>
      </c>
      <c r="F3" s="36" t="s">
        <v>88</v>
      </c>
      <c r="G3" s="68">
        <f>+'[1]Greenvalley Only'!$G$23</f>
        <v>81531305.173490167</v>
      </c>
      <c r="H3" s="69">
        <f>+G3/B3</f>
        <v>3.7059684169768259</v>
      </c>
      <c r="I3" s="70">
        <f>+'[1]Greenvalley Only'!$I23</f>
        <v>0.24695824054716686</v>
      </c>
    </row>
    <row r="4" spans="1:9" ht="17.399999999999999" x14ac:dyDescent="0.45">
      <c r="A4" s="71" t="s">
        <v>73</v>
      </c>
      <c r="B4" s="72">
        <v>2000000</v>
      </c>
      <c r="C4" s="73">
        <v>0.5</v>
      </c>
      <c r="D4" s="72">
        <v>3250000</v>
      </c>
      <c r="E4" s="72">
        <f>+[3]Bamboo!$B$27</f>
        <v>32984221</v>
      </c>
      <c r="F4" s="71" t="s">
        <v>89</v>
      </c>
      <c r="G4" s="74">
        <f>+'[1]Greenvalley Only'!$G$24</f>
        <v>4073758.2439999999</v>
      </c>
      <c r="H4" s="75">
        <f>+G4/B4</f>
        <v>2.0368791219999998</v>
      </c>
      <c r="I4" s="80">
        <f>+'[1]Greenvalley Only'!$I24</f>
        <v>0.19789315197531154</v>
      </c>
    </row>
    <row r="5" spans="1:9" ht="15.6" x14ac:dyDescent="0.3">
      <c r="A5" s="36" t="s">
        <v>46</v>
      </c>
      <c r="B5" s="66">
        <f>+B3+B4</f>
        <v>24000000</v>
      </c>
      <c r="C5" s="76">
        <f>+B5/D5</f>
        <v>0.2119205298013245</v>
      </c>
      <c r="D5" s="66">
        <f>SUM(D3:D4)</f>
        <v>113250000</v>
      </c>
      <c r="E5" s="66">
        <f>SUM(E3:E4)</f>
        <v>652181473.79999995</v>
      </c>
      <c r="F5" s="35"/>
      <c r="G5" s="68">
        <f>+G3+G4</f>
        <v>85605063.417490169</v>
      </c>
      <c r="H5" s="77">
        <f>+G5/B5</f>
        <v>3.5668776423954238</v>
      </c>
      <c r="I5" s="70">
        <f>+'[1]ROI-IRR GV &amp; RE'!I47</f>
        <v>7</v>
      </c>
    </row>
    <row r="6" spans="1:9" ht="18" x14ac:dyDescent="0.35">
      <c r="A6" s="78" t="s">
        <v>90</v>
      </c>
      <c r="B6" s="79"/>
      <c r="C6" s="34"/>
      <c r="D6" s="34"/>
      <c r="E6" s="34"/>
      <c r="F6" s="34"/>
      <c r="G6" s="34"/>
      <c r="H6" s="34"/>
      <c r="I6" s="34"/>
    </row>
  </sheetData>
  <mergeCells count="1">
    <mergeCell ref="A1:H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487E4-8E41-4297-93C5-83A4B22DB8D9}">
  <dimension ref="A1:K17"/>
  <sheetViews>
    <sheetView workbookViewId="0">
      <selection activeCell="A16" sqref="A16"/>
    </sheetView>
  </sheetViews>
  <sheetFormatPr defaultRowHeight="14.4" x14ac:dyDescent="0.3"/>
  <cols>
    <col min="1" max="1" width="29.109375" customWidth="1"/>
    <col min="2" max="2" width="25.109375" customWidth="1"/>
    <col min="3" max="3" width="20" customWidth="1"/>
    <col min="4" max="4" width="24.77734375" customWidth="1"/>
    <col min="5" max="5" width="17.88671875" customWidth="1"/>
    <col min="6" max="6" width="26.88671875" customWidth="1"/>
    <col min="7" max="7" width="21.88671875" customWidth="1"/>
    <col min="8" max="8" width="22.77734375" customWidth="1"/>
    <col min="9" max="9" width="26" customWidth="1"/>
    <col min="10" max="10" width="25.5546875" customWidth="1"/>
    <col min="11" max="11" width="26.21875" customWidth="1"/>
  </cols>
  <sheetData>
    <row r="1" spans="1:11" ht="15.6" x14ac:dyDescent="0.3">
      <c r="A1" s="115"/>
      <c r="B1" s="115"/>
      <c r="C1" s="115"/>
      <c r="D1" s="153" t="s">
        <v>128</v>
      </c>
      <c r="E1" s="153"/>
      <c r="F1" s="153" t="s">
        <v>129</v>
      </c>
      <c r="G1" s="153"/>
      <c r="H1" s="153" t="s">
        <v>130</v>
      </c>
      <c r="I1" s="153"/>
      <c r="J1" s="105"/>
      <c r="K1" s="106"/>
    </row>
    <row r="2" spans="1:11" ht="15.6" x14ac:dyDescent="0.3">
      <c r="A2" s="154" t="s">
        <v>145</v>
      </c>
      <c r="B2" s="155"/>
      <c r="C2" s="116" t="s">
        <v>131</v>
      </c>
      <c r="D2" s="154" t="s">
        <v>132</v>
      </c>
      <c r="E2" s="155"/>
      <c r="F2" s="154" t="s">
        <v>133</v>
      </c>
      <c r="G2" s="155"/>
      <c r="H2" s="153" t="s">
        <v>134</v>
      </c>
      <c r="I2" s="153"/>
      <c r="J2" s="107"/>
      <c r="K2" s="108"/>
    </row>
    <row r="3" spans="1:11" ht="15.6" x14ac:dyDescent="0.3">
      <c r="A3" s="117" t="s">
        <v>106</v>
      </c>
      <c r="B3" s="117" t="s">
        <v>107</v>
      </c>
      <c r="C3" s="117" t="s">
        <v>109</v>
      </c>
      <c r="D3" s="117" t="s">
        <v>135</v>
      </c>
      <c r="E3" s="117" t="s">
        <v>136</v>
      </c>
      <c r="F3" s="117" t="s">
        <v>137</v>
      </c>
      <c r="G3" s="118" t="s">
        <v>138</v>
      </c>
      <c r="H3" s="118" t="s">
        <v>139</v>
      </c>
      <c r="I3" s="117" t="s">
        <v>134</v>
      </c>
      <c r="J3" s="107"/>
      <c r="K3" s="108"/>
    </row>
    <row r="4" spans="1:11" ht="29.4" customHeight="1" x14ac:dyDescent="0.3">
      <c r="A4" s="119" t="str">
        <f>+'[4]AREAS POR FASE'!$S19</f>
        <v>R3</v>
      </c>
      <c r="B4" s="120" t="s">
        <v>113</v>
      </c>
      <c r="C4" s="121">
        <f>+'[4]AREAS POR FASE'!$U19</f>
        <v>0.93919430953119076</v>
      </c>
      <c r="D4" s="122">
        <f>+'[4]AREAS POR FASE'!$V19</f>
        <v>154</v>
      </c>
      <c r="E4" s="123">
        <f>+D4*'Land sold vs available'!C17</f>
        <v>17883096</v>
      </c>
      <c r="F4" s="124">
        <f>+'[4]AREAS POR FASE'!$X19</f>
        <v>280</v>
      </c>
      <c r="G4" s="125">
        <f>+F4*'Land sold vs available'!C17</f>
        <v>32514720</v>
      </c>
      <c r="H4" s="124">
        <v>265</v>
      </c>
      <c r="I4" s="125">
        <f>+H4*'Land sold vs available'!C17</f>
        <v>30772860</v>
      </c>
      <c r="J4" s="113"/>
      <c r="K4" s="113"/>
    </row>
    <row r="5" spans="1:11" ht="27.6" x14ac:dyDescent="0.3">
      <c r="A5" s="92" t="str">
        <f>+'[4]AREAS POR FASE'!$S20</f>
        <v>RM</v>
      </c>
      <c r="B5" s="136" t="s">
        <v>115</v>
      </c>
      <c r="C5" s="137">
        <f>+'[4]AREAS POR FASE'!$U20</f>
        <v>0.99997773374006371</v>
      </c>
      <c r="D5" s="109">
        <f>+'[4]AREAS POR FASE'!$V20</f>
        <v>248</v>
      </c>
      <c r="E5" s="110">
        <f>+D5*'Land sold vs available'!C18</f>
        <v>11137680</v>
      </c>
      <c r="F5" s="111">
        <f>+'[4]AREAS POR FASE'!$X20</f>
        <v>320</v>
      </c>
      <c r="G5" s="112">
        <f>+F5*'Land sold vs available'!C18</f>
        <v>14371200</v>
      </c>
      <c r="H5" s="111">
        <v>350</v>
      </c>
      <c r="I5" s="112">
        <f>+H5*'Land sold vs available'!C18</f>
        <v>15718500</v>
      </c>
      <c r="J5" s="113"/>
      <c r="K5" s="113"/>
    </row>
    <row r="6" spans="1:11" x14ac:dyDescent="0.3">
      <c r="A6" s="119" t="str">
        <f>+'[4]AREAS POR FASE'!$S21</f>
        <v>RM3</v>
      </c>
      <c r="B6" s="120" t="s">
        <v>117</v>
      </c>
      <c r="C6" s="121">
        <f>+'[4]AREAS POR FASE'!$U21</f>
        <v>0.17670560437396685</v>
      </c>
      <c r="D6" s="122">
        <f>+'[4]AREAS POR FASE'!$V21</f>
        <v>331.93</v>
      </c>
      <c r="E6" s="123">
        <f>+D6*'Land sold vs available'!C19</f>
        <v>144975738.38</v>
      </c>
      <c r="F6" s="124">
        <f>+'[4]AREAS POR FASE'!$X21</f>
        <v>420</v>
      </c>
      <c r="G6" s="125">
        <f>+F6*'Land sold vs available'!C19</f>
        <v>183441720</v>
      </c>
      <c r="H6" s="124">
        <v>600</v>
      </c>
      <c r="I6" s="125">
        <f>+H6*'Land sold vs available'!C19</f>
        <v>262059600</v>
      </c>
      <c r="J6" s="113"/>
      <c r="K6" s="113"/>
    </row>
    <row r="7" spans="1:11" x14ac:dyDescent="0.3">
      <c r="A7" s="92" t="str">
        <f>+'[4]AREAS POR FASE'!$S22</f>
        <v>RM3-C2</v>
      </c>
      <c r="B7" s="136" t="s">
        <v>119</v>
      </c>
      <c r="C7" s="137">
        <f>+'[4]AREAS POR FASE'!$U22</f>
        <v>4.4251023990637801E-2</v>
      </c>
      <c r="D7" s="109">
        <f>+'[4]AREAS POR FASE'!$V22</f>
        <v>322</v>
      </c>
      <c r="E7" s="110">
        <f>+D7*'Land sold vs available'!C20</f>
        <v>22011920</v>
      </c>
      <c r="F7" s="111">
        <f>+'[4]AREAS POR FASE'!$X22</f>
        <v>322</v>
      </c>
      <c r="G7" s="112">
        <f>+F7*'Land sold vs available'!C20</f>
        <v>22011920</v>
      </c>
      <c r="H7" s="111">
        <v>500</v>
      </c>
      <c r="I7" s="112">
        <f>+H7*'Land sold vs available'!C20</f>
        <v>34180000</v>
      </c>
      <c r="J7" s="113"/>
      <c r="K7" s="113"/>
    </row>
    <row r="8" spans="1:11" x14ac:dyDescent="0.3">
      <c r="A8" s="119" t="str">
        <f>+'[4]AREAS POR FASE'!$S23</f>
        <v>C2</v>
      </c>
      <c r="B8" s="120" t="s">
        <v>121</v>
      </c>
      <c r="C8" s="121">
        <f>+'[4]AREAS POR FASE'!$U23</f>
        <v>0.20227901018137684</v>
      </c>
      <c r="D8" s="122">
        <f>+'[4]AREAS POR FASE'!$V23</f>
        <v>500</v>
      </c>
      <c r="E8" s="123">
        <f>+D8*'Land sold vs available'!C21</f>
        <v>59324000</v>
      </c>
      <c r="F8" s="124">
        <f>+'[4]AREAS POR FASE'!$X23</f>
        <v>500</v>
      </c>
      <c r="G8" s="125">
        <f>+F8*'Land sold vs available'!C21</f>
        <v>59324000</v>
      </c>
      <c r="H8" s="124">
        <v>750</v>
      </c>
      <c r="I8" s="125">
        <f>+H8*'Land sold vs available'!C21</f>
        <v>88986000</v>
      </c>
      <c r="J8" s="113"/>
      <c r="K8" s="113"/>
    </row>
    <row r="9" spans="1:11" x14ac:dyDescent="0.3">
      <c r="A9" s="92" t="str">
        <f>+'[4]AREAS POR FASE'!$S24</f>
        <v>C2 REC</v>
      </c>
      <c r="B9" s="136" t="s">
        <v>123</v>
      </c>
      <c r="C9" s="137">
        <f>+'[4]AREAS POR FASE'!$U24</f>
        <v>0.12211367673179396</v>
      </c>
      <c r="D9" s="109">
        <f>+'[4]AREAS POR FASE'!$V24</f>
        <v>90</v>
      </c>
      <c r="E9" s="110">
        <f>+D9*'Land sold vs available'!C22</f>
        <v>1621440</v>
      </c>
      <c r="F9" s="111">
        <f>+'[4]AREAS POR FASE'!$X24</f>
        <v>90</v>
      </c>
      <c r="G9" s="112">
        <f>+F9*'Land sold vs available'!C22</f>
        <v>1621440</v>
      </c>
      <c r="H9" s="111">
        <v>90</v>
      </c>
      <c r="I9" s="112">
        <f>+H9*'Land sold vs available'!C22</f>
        <v>1621440</v>
      </c>
      <c r="J9" s="113"/>
      <c r="K9" s="113"/>
    </row>
    <row r="10" spans="1:11" ht="15.6" x14ac:dyDescent="0.3">
      <c r="A10" s="119" t="str">
        <f>+'[4]AREAS POR FASE'!$S25</f>
        <v>C1</v>
      </c>
      <c r="B10" s="120" t="s">
        <v>125</v>
      </c>
      <c r="C10" s="121">
        <f>+'[4]AREAS POR FASE'!$U25</f>
        <v>0.62381104082282801</v>
      </c>
      <c r="D10" s="122">
        <f>+'[4]AREAS POR FASE'!$V25</f>
        <v>336</v>
      </c>
      <c r="E10" s="123">
        <f>+D10*'Land sold vs available'!C23</f>
        <v>22148784</v>
      </c>
      <c r="F10" s="124">
        <f>+'[4]AREAS POR FASE'!$X25</f>
        <v>442</v>
      </c>
      <c r="G10" s="125">
        <f>+F10*'Land sold vs available'!C23</f>
        <v>29136198</v>
      </c>
      <c r="H10" s="124">
        <v>400</v>
      </c>
      <c r="I10" s="125">
        <f>+H10*'Land sold vs available'!C23</f>
        <v>26367600</v>
      </c>
      <c r="J10" s="148" t="s">
        <v>140</v>
      </c>
      <c r="K10" s="149"/>
    </row>
    <row r="11" spans="1:11" ht="15.6" x14ac:dyDescent="0.3">
      <c r="A11" s="92" t="str">
        <f>+'[4]AREAS POR FASE'!$S26</f>
        <v>SIU 2</v>
      </c>
      <c r="B11" s="136" t="s">
        <v>127</v>
      </c>
      <c r="C11" s="137">
        <f>+'[4]AREAS POR FASE'!$U26</f>
        <v>0.93467584188232644</v>
      </c>
      <c r="D11" s="109">
        <f>+'[4]AREAS POR FASE'!$V26</f>
        <v>136</v>
      </c>
      <c r="E11" s="110">
        <f>+D11*'Land sold vs available'!C24</f>
        <v>9664296</v>
      </c>
      <c r="F11" s="111">
        <f>+'[4]AREAS POR FASE'!$X26</f>
        <v>180</v>
      </c>
      <c r="G11" s="112">
        <f>+F11*'Land sold vs available'!C24</f>
        <v>12790980</v>
      </c>
      <c r="H11" s="111">
        <v>180</v>
      </c>
      <c r="I11" s="112">
        <f>+H11*'Land sold vs available'!C24</f>
        <v>12790980</v>
      </c>
      <c r="J11" s="150" t="s">
        <v>141</v>
      </c>
      <c r="K11" s="151"/>
    </row>
    <row r="12" spans="1:11" x14ac:dyDescent="0.3">
      <c r="A12" s="152" t="s">
        <v>21</v>
      </c>
      <c r="B12" s="152"/>
      <c r="C12" s="121">
        <f>+'[4]AREAS POR FASE'!$U27</f>
        <v>0.39148227557844445</v>
      </c>
      <c r="D12" s="122">
        <f>+E12/'Land sold vs available'!C25</f>
        <v>307.26295523321886</v>
      </c>
      <c r="E12" s="126">
        <f>SUM(E4:E11)</f>
        <v>288766954.38</v>
      </c>
      <c r="F12" s="127">
        <f>+G12/'Land sold vs available'!C25</f>
        <v>377.96410528152677</v>
      </c>
      <c r="G12" s="138">
        <f>SUM(G4:G11)</f>
        <v>355212178</v>
      </c>
      <c r="H12" s="127">
        <f>+I12/'Land sold vs available'!C25</f>
        <v>502.76119275934133</v>
      </c>
      <c r="I12" s="125">
        <f>SUM(I4:I11)</f>
        <v>472496980</v>
      </c>
      <c r="J12" s="128">
        <f>+K12/'Land sold vs available'!C25</f>
        <v>658.85786057518374</v>
      </c>
      <c r="K12" s="129">
        <f>+[2]AMWork!$V$25</f>
        <v>619197252.79999995</v>
      </c>
    </row>
    <row r="13" spans="1:11" x14ac:dyDescent="0.3">
      <c r="A13" s="114"/>
      <c r="B13" s="114"/>
      <c r="C13" s="114"/>
      <c r="D13" s="130" t="s">
        <v>142</v>
      </c>
      <c r="E13" s="131">
        <f>+'Greenvalley P&amp;L'!B12</f>
        <v>211540726.93254906</v>
      </c>
      <c r="F13" s="130" t="s">
        <v>142</v>
      </c>
      <c r="G13" s="131">
        <f>+E13</f>
        <v>211540726.93254906</v>
      </c>
      <c r="H13" s="130" t="s">
        <v>142</v>
      </c>
      <c r="I13" s="131">
        <f>+E13</f>
        <v>211540726.93254906</v>
      </c>
      <c r="J13" s="130" t="s">
        <v>142</v>
      </c>
      <c r="K13" s="131">
        <f>+I13</f>
        <v>211540726.93254906</v>
      </c>
    </row>
    <row r="14" spans="1:11" x14ac:dyDescent="0.3">
      <c r="A14" s="114"/>
      <c r="B14" s="114"/>
      <c r="C14" s="114"/>
      <c r="D14" s="132" t="s">
        <v>68</v>
      </c>
      <c r="E14" s="133">
        <f>+E12-E13</f>
        <v>77226227.447450936</v>
      </c>
      <c r="F14" s="132" t="s">
        <v>68</v>
      </c>
      <c r="G14" s="133">
        <f>+G12-G13</f>
        <v>143671451.06745094</v>
      </c>
      <c r="H14" s="132" t="s">
        <v>68</v>
      </c>
      <c r="I14" s="133">
        <f>+I12-I13</f>
        <v>260956253.06745094</v>
      </c>
      <c r="J14" s="132" t="s">
        <v>68</v>
      </c>
      <c r="K14" s="133">
        <f>+K12-K13</f>
        <v>407656525.86745089</v>
      </c>
    </row>
    <row r="15" spans="1:11" x14ac:dyDescent="0.3">
      <c r="A15" s="87"/>
      <c r="B15" s="87"/>
      <c r="C15" s="87"/>
      <c r="D15" s="134" t="s">
        <v>97</v>
      </c>
      <c r="E15" s="135">
        <f>+E14*0.2</f>
        <v>15445245.489490189</v>
      </c>
      <c r="F15" s="134" t="s">
        <v>97</v>
      </c>
      <c r="G15" s="135">
        <f>+G14*0.2</f>
        <v>28734290.213490188</v>
      </c>
      <c r="H15" s="134" t="s">
        <v>97</v>
      </c>
      <c r="I15" s="135">
        <f>+I14*0.2</f>
        <v>52191250.613490194</v>
      </c>
      <c r="J15" s="134" t="s">
        <v>97</v>
      </c>
      <c r="K15" s="135">
        <f>+K14*0.2</f>
        <v>81531305.173490182</v>
      </c>
    </row>
    <row r="16" spans="1:11" x14ac:dyDescent="0.3">
      <c r="A16" s="87"/>
      <c r="B16" s="87"/>
      <c r="C16" s="87"/>
      <c r="D16" s="139" t="s">
        <v>143</v>
      </c>
      <c r="E16" s="140">
        <v>22000000</v>
      </c>
      <c r="F16" s="139" t="s">
        <v>143</v>
      </c>
      <c r="G16" s="140">
        <v>22000000</v>
      </c>
      <c r="H16" s="139" t="s">
        <v>143</v>
      </c>
      <c r="I16" s="140">
        <v>22000000</v>
      </c>
      <c r="J16" s="139" t="s">
        <v>143</v>
      </c>
      <c r="K16" s="140">
        <v>22000000</v>
      </c>
    </row>
    <row r="17" spans="1:11" x14ac:dyDescent="0.3">
      <c r="A17" s="87"/>
      <c r="B17" s="87"/>
      <c r="C17" s="87"/>
      <c r="D17" s="139" t="s">
        <v>144</v>
      </c>
      <c r="E17" s="141">
        <f>+E15/E16</f>
        <v>0.70205661315864498</v>
      </c>
      <c r="F17" s="139" t="s">
        <v>144</v>
      </c>
      <c r="G17" s="141">
        <f>+G15/G16</f>
        <v>1.3061041006131904</v>
      </c>
      <c r="H17" s="139" t="s">
        <v>144</v>
      </c>
      <c r="I17" s="141">
        <f>+I15/I16</f>
        <v>2.3723295733404632</v>
      </c>
      <c r="J17" s="139" t="s">
        <v>144</v>
      </c>
      <c r="K17" s="141">
        <f>+K15/K16</f>
        <v>3.7059684169768263</v>
      </c>
    </row>
  </sheetData>
  <mergeCells count="10">
    <mergeCell ref="J10:K10"/>
    <mergeCell ref="J11:K11"/>
    <mergeCell ref="A12:B12"/>
    <mergeCell ref="D1:E1"/>
    <mergeCell ref="F1:G1"/>
    <mergeCell ref="H1:I1"/>
    <mergeCell ref="A2:B2"/>
    <mergeCell ref="D2:E2"/>
    <mergeCell ref="F2:G2"/>
    <mergeCell ref="H2:I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364F2-6FC3-4AC6-89AB-F39AF3D08A63}">
  <dimension ref="A1:H35"/>
  <sheetViews>
    <sheetView topLeftCell="A7" workbookViewId="0">
      <selection activeCell="H27" sqref="H27"/>
    </sheetView>
  </sheetViews>
  <sheetFormatPr defaultRowHeight="14.4" x14ac:dyDescent="0.3"/>
  <cols>
    <col min="1" max="1" width="13.88671875" style="1" customWidth="1"/>
    <col min="2" max="2" width="16" style="1" customWidth="1"/>
    <col min="3" max="3" width="17.33203125" style="1" customWidth="1"/>
    <col min="4" max="4" width="15.21875" style="1" customWidth="1"/>
    <col min="5" max="5" width="20.33203125" style="1" customWidth="1"/>
    <col min="6" max="6" width="12.77734375" style="1" customWidth="1"/>
    <col min="7" max="8" width="8.88671875" style="1"/>
    <col min="9" max="9" width="14.6640625" style="1" bestFit="1" customWidth="1"/>
    <col min="10" max="10" width="8.88671875" style="1"/>
    <col min="11" max="11" width="14.6640625" style="1" bestFit="1" customWidth="1"/>
    <col min="12" max="12" width="8.88671875" style="1"/>
    <col min="13" max="14" width="14.6640625" style="1" bestFit="1" customWidth="1"/>
    <col min="15" max="17" width="8.88671875" style="1"/>
    <col min="18" max="18" width="14.6640625" style="1" bestFit="1" customWidth="1"/>
    <col min="19" max="19" width="14.88671875" style="1" customWidth="1"/>
    <col min="20" max="20" width="14.6640625" style="1" bestFit="1" customWidth="1"/>
    <col min="21" max="21" width="17.21875" style="1" bestFit="1" customWidth="1"/>
    <col min="22" max="23" width="15.6640625" style="1" bestFit="1" customWidth="1"/>
    <col min="24" max="24" width="11.109375" style="1" bestFit="1" customWidth="1"/>
    <col min="25" max="25" width="14.6640625" style="1" bestFit="1" customWidth="1"/>
    <col min="26" max="16384" width="8.88671875" style="1"/>
  </cols>
  <sheetData>
    <row r="1" spans="1:6" ht="21" x14ac:dyDescent="0.4">
      <c r="A1" s="162" t="s">
        <v>98</v>
      </c>
      <c r="B1" s="162"/>
      <c r="C1" s="162"/>
      <c r="D1" s="162"/>
      <c r="E1" s="162"/>
    </row>
    <row r="3" spans="1:6" x14ac:dyDescent="0.3">
      <c r="A3" s="83" t="s">
        <v>99</v>
      </c>
      <c r="B3" s="83" t="s">
        <v>100</v>
      </c>
      <c r="C3" s="83" t="s">
        <v>101</v>
      </c>
      <c r="D3" s="83" t="s">
        <v>102</v>
      </c>
      <c r="E3" s="83" t="s">
        <v>103</v>
      </c>
    </row>
    <row r="4" spans="1:6" x14ac:dyDescent="0.3">
      <c r="A4" s="84">
        <v>1</v>
      </c>
      <c r="B4" s="85">
        <v>215639.98857476914</v>
      </c>
      <c r="C4" s="86">
        <v>136341.416</v>
      </c>
      <c r="D4" s="85">
        <v>112060</v>
      </c>
      <c r="E4" s="85">
        <f>+C4-D4</f>
        <v>24281.415999999997</v>
      </c>
    </row>
    <row r="5" spans="1:6" x14ac:dyDescent="0.3">
      <c r="A5" s="84">
        <v>2</v>
      </c>
      <c r="B5" s="85">
        <v>293147.88871949463</v>
      </c>
      <c r="C5" s="86">
        <v>133091</v>
      </c>
      <c r="D5" s="85">
        <v>90856.222999999998</v>
      </c>
      <c r="E5" s="85">
        <f t="shared" ref="E5:E10" si="0">+C5-D5</f>
        <v>42234.777000000002</v>
      </c>
    </row>
    <row r="6" spans="1:6" x14ac:dyDescent="0.3">
      <c r="A6" s="84">
        <v>3</v>
      </c>
      <c r="B6" s="85">
        <v>299282.37675789709</v>
      </c>
      <c r="C6" s="86">
        <v>141422</v>
      </c>
      <c r="D6" s="85">
        <v>59603.853000000003</v>
      </c>
      <c r="E6" s="85">
        <f t="shared" si="0"/>
        <v>81818.146999999997</v>
      </c>
    </row>
    <row r="7" spans="1:6" x14ac:dyDescent="0.3">
      <c r="A7" s="84">
        <v>4</v>
      </c>
      <c r="B7" s="85">
        <v>227449.57529962933</v>
      </c>
      <c r="C7" s="86">
        <v>50699.32</v>
      </c>
      <c r="D7" s="85">
        <v>2200</v>
      </c>
      <c r="E7" s="85">
        <f t="shared" si="0"/>
        <v>48499.32</v>
      </c>
    </row>
    <row r="8" spans="1:6" x14ac:dyDescent="0.3">
      <c r="A8" s="84">
        <v>5</v>
      </c>
      <c r="B8" s="85">
        <v>326522.24556769477</v>
      </c>
      <c r="C8" s="86">
        <v>167736</v>
      </c>
      <c r="D8" s="85">
        <v>70854.988000000012</v>
      </c>
      <c r="E8" s="85">
        <f t="shared" si="0"/>
        <v>96881.011999999988</v>
      </c>
    </row>
    <row r="9" spans="1:6" x14ac:dyDescent="0.3">
      <c r="A9" s="84">
        <v>6</v>
      </c>
      <c r="B9" s="85">
        <v>254476.64068776235</v>
      </c>
      <c r="C9" s="86">
        <v>130907</v>
      </c>
      <c r="D9" s="85">
        <v>8236.0349999999999</v>
      </c>
      <c r="E9" s="85">
        <f t="shared" si="0"/>
        <v>122670.965</v>
      </c>
    </row>
    <row r="10" spans="1:6" x14ac:dyDescent="0.3">
      <c r="A10" s="84">
        <v>7</v>
      </c>
      <c r="B10" s="85">
        <v>369784.52439275291</v>
      </c>
      <c r="C10" s="86">
        <v>179608</v>
      </c>
      <c r="D10" s="85">
        <v>24107.031999999999</v>
      </c>
      <c r="E10" s="85">
        <f t="shared" si="0"/>
        <v>155500.96799999999</v>
      </c>
    </row>
    <row r="11" spans="1:6" x14ac:dyDescent="0.3">
      <c r="A11" s="87"/>
      <c r="B11" s="87"/>
      <c r="C11" s="88"/>
      <c r="D11" s="87"/>
      <c r="E11" s="87"/>
    </row>
    <row r="12" spans="1:6" x14ac:dyDescent="0.3">
      <c r="A12" s="87"/>
      <c r="B12" s="89">
        <f>+SUM(B4:B10)</f>
        <v>1986303.2400000002</v>
      </c>
      <c r="C12" s="89">
        <f>SUM(C4:C10)</f>
        <v>939804.73600000003</v>
      </c>
      <c r="D12" s="89">
        <f>+SUM(D4:D10)</f>
        <v>367918.13099999999</v>
      </c>
      <c r="E12" s="89">
        <f>+SUM(E4:E10)</f>
        <v>571886.60499999998</v>
      </c>
    </row>
    <row r="13" spans="1:6" x14ac:dyDescent="0.3">
      <c r="C13" s="90"/>
      <c r="D13" s="91">
        <f>+D12/C12</f>
        <v>0.39148358899097946</v>
      </c>
      <c r="E13" s="91">
        <f>+E12/C12</f>
        <v>0.60851641100902043</v>
      </c>
    </row>
    <row r="15" spans="1:6" ht="18" x14ac:dyDescent="0.35">
      <c r="A15" s="156" t="s">
        <v>104</v>
      </c>
      <c r="B15" s="157"/>
      <c r="C15" s="158" t="s">
        <v>105</v>
      </c>
      <c r="D15" s="159"/>
      <c r="E15" s="159"/>
      <c r="F15" s="160"/>
    </row>
    <row r="16" spans="1:6" ht="15.6" x14ac:dyDescent="0.3">
      <c r="A16" s="103" t="s">
        <v>106</v>
      </c>
      <c r="B16" s="104" t="s">
        <v>107</v>
      </c>
      <c r="C16" s="103" t="s">
        <v>108</v>
      </c>
      <c r="D16" s="103" t="s">
        <v>109</v>
      </c>
      <c r="E16" s="103" t="s">
        <v>110</v>
      </c>
      <c r="F16" s="103" t="s">
        <v>111</v>
      </c>
    </row>
    <row r="17" spans="1:6" ht="27.6" x14ac:dyDescent="0.3">
      <c r="A17" s="92" t="s">
        <v>112</v>
      </c>
      <c r="B17" s="93" t="s">
        <v>113</v>
      </c>
      <c r="C17" s="94">
        <f>93093+23031</f>
        <v>116124</v>
      </c>
      <c r="D17" s="95">
        <v>109063</v>
      </c>
      <c r="E17" s="94">
        <f>+C17-D17</f>
        <v>7061</v>
      </c>
      <c r="F17" s="96">
        <f>+E17/C17</f>
        <v>6.0805690468809202E-2</v>
      </c>
    </row>
    <row r="18" spans="1:6" ht="27.6" x14ac:dyDescent="0.3">
      <c r="A18" s="92" t="s">
        <v>114</v>
      </c>
      <c r="B18" s="93" t="s">
        <v>115</v>
      </c>
      <c r="C18" s="94">
        <f>6800+38110</f>
        <v>44910</v>
      </c>
      <c r="D18" s="95">
        <v>44910</v>
      </c>
      <c r="E18" s="94">
        <f t="shared" ref="E18:E24" si="1">+C18-D18</f>
        <v>0</v>
      </c>
      <c r="F18" s="96">
        <f t="shared" ref="F18:F24" si="2">+E18/C18</f>
        <v>0</v>
      </c>
    </row>
    <row r="19" spans="1:6" ht="27.6" x14ac:dyDescent="0.3">
      <c r="A19" s="92" t="s">
        <v>116</v>
      </c>
      <c r="B19" s="93" t="s">
        <v>117</v>
      </c>
      <c r="C19" s="94">
        <f>27599+21607+23863+93263+123968+146466</f>
        <v>436766</v>
      </c>
      <c r="D19" s="94">
        <v>77179</v>
      </c>
      <c r="E19" s="94">
        <f t="shared" si="1"/>
        <v>359587</v>
      </c>
      <c r="F19" s="96">
        <f t="shared" si="2"/>
        <v>0.82329439562603313</v>
      </c>
    </row>
    <row r="20" spans="1:6" ht="27.6" x14ac:dyDescent="0.3">
      <c r="A20" s="92" t="s">
        <v>118</v>
      </c>
      <c r="B20" s="93" t="s">
        <v>119</v>
      </c>
      <c r="C20" s="94">
        <f>11203+18391+9224+13332+16210</f>
        <v>68360</v>
      </c>
      <c r="D20" s="94">
        <v>3025</v>
      </c>
      <c r="E20" s="94">
        <f t="shared" si="1"/>
        <v>65335</v>
      </c>
      <c r="F20" s="96">
        <f t="shared" si="2"/>
        <v>0.95574897600936215</v>
      </c>
    </row>
    <row r="21" spans="1:6" ht="27.6" x14ac:dyDescent="0.3">
      <c r="A21" s="92" t="s">
        <v>120</v>
      </c>
      <c r="B21" s="93" t="s">
        <v>121</v>
      </c>
      <c r="C21" s="94">
        <f>85965+32683</f>
        <v>118648</v>
      </c>
      <c r="D21" s="94">
        <v>24000</v>
      </c>
      <c r="E21" s="94">
        <f t="shared" si="1"/>
        <v>94648</v>
      </c>
      <c r="F21" s="96">
        <f t="shared" si="2"/>
        <v>0.79772098981862316</v>
      </c>
    </row>
    <row r="22" spans="1:6" ht="27.6" x14ac:dyDescent="0.3">
      <c r="A22" s="92" t="s">
        <v>122</v>
      </c>
      <c r="B22" s="93" t="s">
        <v>123</v>
      </c>
      <c r="C22" s="94">
        <v>18016</v>
      </c>
      <c r="D22" s="94">
        <v>2200</v>
      </c>
      <c r="E22" s="94">
        <f t="shared" si="1"/>
        <v>15816</v>
      </c>
      <c r="F22" s="96">
        <f t="shared" si="2"/>
        <v>0.87788632326820604</v>
      </c>
    </row>
    <row r="23" spans="1:6" ht="27.6" x14ac:dyDescent="0.3">
      <c r="A23" s="92" t="s">
        <v>124</v>
      </c>
      <c r="B23" s="93" t="s">
        <v>125</v>
      </c>
      <c r="C23" s="94">
        <f>19678+22370+6939+16932</f>
        <v>65919</v>
      </c>
      <c r="D23" s="94">
        <v>41121</v>
      </c>
      <c r="E23" s="94">
        <f t="shared" si="1"/>
        <v>24798</v>
      </c>
      <c r="F23" s="96">
        <f t="shared" si="2"/>
        <v>0.37618895917717199</v>
      </c>
    </row>
    <row r="24" spans="1:6" x14ac:dyDescent="0.3">
      <c r="A24" s="92" t="s">
        <v>126</v>
      </c>
      <c r="B24" s="93" t="s">
        <v>127</v>
      </c>
      <c r="C24" s="94">
        <v>71061</v>
      </c>
      <c r="D24" s="94">
        <v>66419</v>
      </c>
      <c r="E24" s="94">
        <f t="shared" si="1"/>
        <v>4642</v>
      </c>
      <c r="F24" s="96">
        <f t="shared" si="2"/>
        <v>6.5324158117673545E-2</v>
      </c>
    </row>
    <row r="25" spans="1:6" ht="15.6" x14ac:dyDescent="0.3">
      <c r="A25" s="161" t="s">
        <v>21</v>
      </c>
      <c r="B25" s="161"/>
      <c r="C25" s="101">
        <f>SUM(C17:C24)</f>
        <v>939804</v>
      </c>
      <c r="D25" s="101">
        <f>SUM(D17:D24)</f>
        <v>367917</v>
      </c>
      <c r="E25" s="101">
        <f>SUM(E17:E24)</f>
        <v>571887</v>
      </c>
      <c r="F25" s="102">
        <f>+E25/C25</f>
        <v>0.608517307864193</v>
      </c>
    </row>
    <row r="27" spans="1:6" x14ac:dyDescent="0.3">
      <c r="C27" s="97"/>
      <c r="D27" s="98"/>
      <c r="E27" s="99"/>
    </row>
    <row r="35" spans="8:8" x14ac:dyDescent="0.3">
      <c r="H35" s="100"/>
    </row>
  </sheetData>
  <mergeCells count="4">
    <mergeCell ref="A15:B15"/>
    <mergeCell ref="C15:F15"/>
    <mergeCell ref="A25:B25"/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Use of Funds</vt:lpstr>
      <vt:lpstr>Investors ROI</vt:lpstr>
      <vt:lpstr>Greenvalley P&amp;L</vt:lpstr>
      <vt:lpstr>Bamboo P&amp;L </vt:lpstr>
      <vt:lpstr>IRR &amp; ROI Greenvally &amp; Bamboo</vt:lpstr>
      <vt:lpstr>GV Fair Mkt value vs Appraisals</vt:lpstr>
      <vt:lpstr>Land sold vs available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 Royal Eagle</dc:creator>
  <cp:lastModifiedBy>AM Royal Eagle</cp:lastModifiedBy>
  <dcterms:created xsi:type="dcterms:W3CDTF">2019-04-13T14:17:42Z</dcterms:created>
  <dcterms:modified xsi:type="dcterms:W3CDTF">2019-04-13T15:03:08Z</dcterms:modified>
</cp:coreProperties>
</file>